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1.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https://carmarthenshire.sharepoint.com/sites/SP_CFPO_PS_SD/Engagement  Communication/Communications/School Climate Toolkit/"/>
    </mc:Choice>
  </mc:AlternateContent>
  <xr:revisionPtr revIDLastSave="7" documentId="8_{522C9FB9-E788-44A5-AE6E-1DD8AD539DAE}" xr6:coauthVersionLast="47" xr6:coauthVersionMax="47" xr10:uidLastSave="{D1CA0482-F06A-48C2-A4EB-62F09BA2C555}"/>
  <bookViews>
    <workbookView xWindow="28680" yWindow="-120" windowWidth="29040" windowHeight="15720" tabRatio="685" activeTab="3" xr2:uid="{00000000-000D-0000-FFFF-FFFF00000000}"/>
  </bookViews>
  <sheets>
    <sheet name="Introduction" sheetId="10" r:id="rId1"/>
    <sheet name="Summary results" sheetId="18" r:id="rId2"/>
    <sheet name="Buildings, Fleet &amp; Equipment" sheetId="4" r:id="rId3"/>
    <sheet name="School Travel &amp; Staff Commute" sheetId="19" r:id="rId4"/>
    <sheet name="Waste" sheetId="12" r:id="rId5"/>
    <sheet name="Supply chain" sheetId="5" r:id="rId6"/>
    <sheet name="Renewables" sheetId="14" r:id="rId7"/>
    <sheet name="Emission factors" sheetId="17" r:id="rId8"/>
    <sheet name="Benchmarking data" sheetId="21" r:id="rId9"/>
    <sheet name="Lists" sheetId="8" state="hidden" r:id="rId10"/>
  </sheets>
  <definedNames>
    <definedName name="_ftnref1" localSheetId="8">'Benchmarking data'!$B$12</definedName>
    <definedName name="_Toc103010521" localSheetId="8">'Benchmarking data'!$C$43</definedName>
    <definedName name="Aethercomments">Introduction!#REF!</definedName>
    <definedName name="Aggregates">Lists!$V$25:$W$25</definedName>
    <definedName name="AGRIC">Lists!$AP$26:$AP$28</definedName>
    <definedName name="Agriculture">Lists!$S$4:$S$5</definedName>
    <definedName name="Allfleetfuel">Lists!$Q$36:$Q$42</definedName>
    <definedName name="Anaestheticgas">Lists!$P$92:$P$95</definedName>
    <definedName name="Anaestheticgasunits">Lists!$P$98</definedName>
    <definedName name="Anatomicalwaste">Lists!$V$26</definedName>
    <definedName name="Asbestos">Lists!$V$27</definedName>
    <definedName name="Asphalt">Lists!$V$28:$W$28</definedName>
    <definedName name="Averageconstruction">Lists!$V$29</definedName>
    <definedName name="Batteries">Lists!$V$30:$W$30</definedName>
    <definedName name="Biodieselcategory1">Lists!$P$79:$P$80</definedName>
    <definedName name="Biodieselunits">Lists!$O$58:$O$59</definedName>
    <definedName name="Bioenergycategory1">Lists!$P$65:$P$67</definedName>
    <definedName name="Bioenergyunits">Lists!$O$71:$O$72</definedName>
    <definedName name="Biopetrolcategory1">Lists!$P$76</definedName>
    <definedName name="Biopetrolunits">Lists!$O$61:$O$62</definedName>
    <definedName name="BoundaryInfo">Introduction!#REF!</definedName>
    <definedName name="Bricks">Lists!$V$31:$W$31</definedName>
    <definedName name="Buildings">Lists!$O$15:$O$23</definedName>
    <definedName name="Buildingsownership">Lists!$O$4:$O$9</definedName>
    <definedName name="Businesstravel">Lists!$AE$4:$AE$9</definedName>
    <definedName name="Cattle">Lists!$S$20:$S$21</definedName>
    <definedName name="CHPplant">Lists!$O$25:$O$29</definedName>
    <definedName name="Clinicalwaste">Lists!$V$32</definedName>
    <definedName name="Clothing">Lists!$V$33:$X$33</definedName>
    <definedName name="Coalcategory1">Lists!$P$83</definedName>
    <definedName name="Coalunits">Lists!$O$80:$O$81</definedName>
    <definedName name="Commercialandindustrialwaste">Lists!$V$34:$X$34</definedName>
    <definedName name="Commuting">Lists!$AF$4:$AF$6</definedName>
    <definedName name="Concrete">Lists!$V$35:$W$35</definedName>
    <definedName name="Dieselcategory1">Lists!$P$50:$P$51</definedName>
    <definedName name="Dieselunits">Lists!$O$50:$O$51</definedName>
    <definedName name="Ease">Lists!$D$4:$D$10</definedName>
    <definedName name="Equipmentfuel">Lists!$Q$45:$Q$51</definedName>
    <definedName name="F_gases">Lists!$O$88:$O$248</definedName>
    <definedName name="F_GasUnits">Lists!$P$88</definedName>
    <definedName name="FarmlandSoils">Lists!$S$28:$S$29</definedName>
    <definedName name="Farmlandsoilsunits">Lists!$S$16:$S$17</definedName>
    <definedName name="Fgas">Lists!$O$88:$O$248</definedName>
    <definedName name="fgasunits">Lists!$P$88</definedName>
    <definedName name="FireandRescueService">Lists!$G$85:$G$87</definedName>
    <definedName name="Fleetandequipmentfuel">Lists!$Q$4:$Q$9</definedName>
    <definedName name="Fleetdistance">Lists!$R$4:$R$6</definedName>
    <definedName name="Flightcategory1">Lists!$AF$50:$AF$52</definedName>
    <definedName name="Flightdomestic">Lists!$AG$50</definedName>
    <definedName name="Flightlonghaul">Lists!$AH$50:$AH$52</definedName>
    <definedName name="Flightshorthaul">Lists!$AH$50:$AH$52</definedName>
    <definedName name="Flightunits">Lists!$AE$50:$AE$51</definedName>
    <definedName name="Gasoilcategory1">Lists!$P$46</definedName>
    <definedName name="Gasoilunits">Lists!$O$46:$O$47</definedName>
    <definedName name="Generatorfuel">Lists!$Q$53:$Q$58</definedName>
    <definedName name="Gridelectricitycategory1">Lists!$P$58</definedName>
    <definedName name="Gridelectricityunits">Lists!$O$64</definedName>
    <definedName name="HealthBoardorTrust">Lists!$G$42:$G$54</definedName>
    <definedName name="Heatandsteamcategory1">Lists!$P$61:$P$62</definedName>
    <definedName name="Heatandsteamunits">Lists!$O$67</definedName>
    <definedName name="HGVfuel">Lists!$Q$33:$Q$34</definedName>
    <definedName name="HGVsize">Lists!$R$31:$R$33</definedName>
    <definedName name="HGVsizefuel">Lists!$Q$33</definedName>
    <definedName name="HGVunits">Lists!$R$65:$R$66</definedName>
    <definedName name="Hirecaraverage">Lists!$AG$21:$AG$26</definedName>
    <definedName name="Hirecarcategory1">Lists!$AF$21:$AF$24</definedName>
    <definedName name="Hirecarlarge">Lists!$AG$21:$AG$26</definedName>
    <definedName name="Hirecarmedium">Lists!$AG$21:$AG$26</definedName>
    <definedName name="Hirecarsmall">Lists!$AG$21:$AG$26</definedName>
    <definedName name="Hirecarunits">Lists!$AE$21:$AE$22</definedName>
    <definedName name="Homeworking">Lists!$AG$4</definedName>
    <definedName name="Householdresidualwaste">Lists!$V$36:$W$36</definedName>
    <definedName name="Infectiouswaste">Lists!$V$37</definedName>
    <definedName name="Insulation">Lists!$V$38:$W$38</definedName>
    <definedName name="Kerosenecategory1">Lists!$P$42</definedName>
    <definedName name="Keroseneunits">Lists!$O$42:$O$43</definedName>
    <definedName name="landuse">Lists!$L$4:$L$9</definedName>
    <definedName name="landusetypes">Lists!$L$3</definedName>
    <definedName name="Livestock">Lists!$S$20:$S$25</definedName>
    <definedName name="Livestockunits">Lists!$S$14</definedName>
    <definedName name="LocalAuthority">Lists!$G$20:$G$41</definedName>
    <definedName name="LPGcategory1">Lists!$P$37</definedName>
    <definedName name="LPGunits">Lists!$O$37:$O$38</definedName>
    <definedName name="Medicalcontaminatedsharpswaste">Lists!$V$39</definedName>
    <definedName name="Medicinalwaste">Lists!$V$40</definedName>
    <definedName name="Metals">Lists!$V$41:$W$41</definedName>
    <definedName name="Methdologytier2">Lists!$B$16</definedName>
    <definedName name="Methodologyall">Lists!$B$4:$B$6</definedName>
    <definedName name="Methodologytier">Lists!$BA$4:$BC$29</definedName>
    <definedName name="Methodologytier1">Lists!$B$9</definedName>
    <definedName name="Methodologytier23">Lists!$B$19:$B$20</definedName>
    <definedName name="Methodologytier3">Lists!$B$23</definedName>
    <definedName name="Mineraloil">Lists!$V$42:$W$42</definedName>
    <definedName name="Mixedglass">Lists!$V$43</definedName>
    <definedName name="Mixedmetalcans">Lists!$V$44</definedName>
    <definedName name="Mixedpaper">Lists!$V$45:$W$45</definedName>
    <definedName name="Mixedplastics">Lists!$V$46</definedName>
    <definedName name="Mixedrecycling">Lists!$V$47</definedName>
    <definedName name="MixedWEEE">Lists!$V$48:$X$48</definedName>
    <definedName name="Motorbikeaverage">Lists!$AG$29</definedName>
    <definedName name="Motorbikecategory1">Lists!$AF$29:$AF$32</definedName>
    <definedName name="motorbikelarge">Lists!$AG$29</definedName>
    <definedName name="Motorbikemedium">Lists!$AG$29</definedName>
    <definedName name="Motorbikesmall">Lists!$AG$29</definedName>
    <definedName name="Motorbikeunits">Lists!$AE$29:$AE$30</definedName>
    <definedName name="Municipalwaste">Lists!$V$4:$V$17</definedName>
    <definedName name="NationalParkAuthority">Lists!$G$55:$G$57</definedName>
    <definedName name="Naturalgascategory1">Lists!$P$33</definedName>
    <definedName name="Naturalgasunits">Lists!$O$33:$O$34</definedName>
    <definedName name="Noninfectiousoffensivewaste">Lists!$V$49</definedName>
    <definedName name="Onsiterenewables">Lists!$AL$4:$AL$7</definedName>
    <definedName name="Organicfoodanddrink">Lists!$V$50:$Y$50</definedName>
    <definedName name="Organicgarden">Lists!$V$51:$Y$51</definedName>
    <definedName name="Organicmixed">Lists!$V$52:$Y$52</definedName>
    <definedName name="OrganisationalInfo">Introduction!$B$7:$D$11</definedName>
    <definedName name="Organisationalwaste">Lists!$U$4:$U$22</definedName>
    <definedName name="Organisations">Lists!$G$20:$G$88</definedName>
    <definedName name="Organisationwastetype">Lists!$U$4:$U$20</definedName>
    <definedName name="OrgType">Lists!$G$4:$G$10</definedName>
    <definedName name="Other">Lists!$G$58:$G$75</definedName>
    <definedName name="Othergases">Lists!$O$84:$O$85</definedName>
    <definedName name="Peerreview">Introduction!$B$42:$K$45</definedName>
    <definedName name="Petrolcategory1">Lists!$P$54:$P$55</definedName>
    <definedName name="Petrolunits">Lists!$O$54:$O$55</definedName>
    <definedName name="Plasterboard">Lists!$V$53:$W$53</definedName>
    <definedName name="Poolcarfuel">Lists!$Q$15:$Q$21</definedName>
    <definedName name="PoolcarSize">Lists!$R$15</definedName>
    <definedName name="Poolcarsizefuel">Lists!$R$37:$R$42</definedName>
    <definedName name="Poolcarunits">Lists!$R$57:$R$58</definedName>
    <definedName name="Privatecaraverage">Lists!$AG$13:$AG$18</definedName>
    <definedName name="Privatecarcategory1">Lists!$AF$13:$AF$16</definedName>
    <definedName name="Privatecarlarge">Lists!$AG$13:$AG$18</definedName>
    <definedName name="Privatecarmedium">Lists!$AG$13:$AG$18</definedName>
    <definedName name="Privatecarsmall">Lists!$AG$13:$AG$18</definedName>
    <definedName name="Privatecarunits">Lists!$AE$13:$AE$14</definedName>
    <definedName name="Projectwaste">Lists!$W$4:$W$17</definedName>
    <definedName name="Publictransportbus">Lists!$AH$35:$AH$36</definedName>
    <definedName name="Publictransportcategory1">Lists!$AF$35:$AF$38</definedName>
    <definedName name="Publictransportferry">Lists!$AJ$35:$AJ$36</definedName>
    <definedName name="Publictransportrail">Lists!$AI$35:$AI$38</definedName>
    <definedName name="Publictransporttaxi">Lists!$AG$35:$AG$36</definedName>
    <definedName name="Publictransportunits">Lists!$AE$35:$AE$36</definedName>
    <definedName name="Purchasedrenewableelectricityagreement">Lists!$AM$17:$AM$21</definedName>
    <definedName name="Purchasedrenewableheatagreement">Lists!$AM$9:$AM$11</definedName>
    <definedName name="Purchasedrenewables">Lists!$AM$4:$AM$5</definedName>
    <definedName name="Regions">Lists!$G$13:$G$17</definedName>
    <definedName name="RenewableCHPelectricitytechnology">Lists!$AL$22:$AL$23</definedName>
    <definedName name="RenewableCHPheattechnology">Lists!$AL$26:$AL$27</definedName>
    <definedName name="Renewableelectricity">Lists!$AL$17:$AL$19</definedName>
    <definedName name="Renewableelectricitytechnology">Lists!$AL$17:$AL$19</definedName>
    <definedName name="Renewableheat">Lists!$AL$9:$AL$14</definedName>
    <definedName name="Renewableheattechnology">Lists!$AL$9:$AL$14</definedName>
    <definedName name="Renewables">Lists!$AL$4:$AL$6</definedName>
    <definedName name="ReportingComments">Introduction!$B$39:$K$39</definedName>
    <definedName name="Reportingyear">Lists!$I$4:$I$5</definedName>
    <definedName name="RSD">Lists!$C$4:$C$15</definedName>
    <definedName name="Sheep">Lists!$S$25</definedName>
    <definedName name="SICProductCategories">Lists!$AU$3:$AU$112</definedName>
    <definedName name="SICProductCodeLookup">Lists!$AU$3:$AW$112</definedName>
    <definedName name="soil">Lists!$M$4:$M$5</definedName>
    <definedName name="Streetlighting">Lists!$P$15</definedName>
    <definedName name="SupplyChain_Tier2RSD">Lists!$B$27:$B$29</definedName>
    <definedName name="Supplychaingroup">Lists!$AP$4:$AP$23</definedName>
    <definedName name="Typeoflighting">Lists!$P$4:$P$6</definedName>
    <definedName name="Tyres">Lists!$V$55:$W$55</definedName>
    <definedName name="UniveristyorCollege">Lists!$G$76:$G$87</definedName>
    <definedName name="vanaverage">Lists!$AJ$13:$AJ$17</definedName>
    <definedName name="vanbiodiesel">Lists!$AJ$13</definedName>
    <definedName name="vanbiopetrol">Lists!$AJ$13</definedName>
    <definedName name="vancategory1">Lists!$AI$13</definedName>
    <definedName name="Vancategory2">Lists!$AJ$13:$AJ$17</definedName>
    <definedName name="vanfuel">Lists!$Q$24:$Q$30</definedName>
    <definedName name="Vansize">Lists!$R$24</definedName>
    <definedName name="Vansizefuel">Lists!$R$46:$R$50</definedName>
    <definedName name="Vanunits">Lists!$R$61:$R$62</definedName>
    <definedName name="Vehicles">Lists!$AE$4:$AE$8</definedName>
    <definedName name="Version">Introduction!$E$1</definedName>
    <definedName name="WasteSoils">Lists!$V$54:$W$54</definedName>
    <definedName name="Wastesource">Lists!$U$3:$U$5</definedName>
    <definedName name="Wasteunits">Lists!$X$4:$X$5</definedName>
    <definedName name="Watercategory1">Lists!$P$70:$P$73</definedName>
    <definedName name="Waterunits">Lists!$O$76:$O$77</definedName>
    <definedName name="WelshGovernment">Lists!$G$88</definedName>
    <definedName name="Wood">Lists!$V$56:$Y$56</definedName>
    <definedName name="Yesno">Lists!$E$4:$E$5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381" i="17" l="1"/>
  <c r="V380" i="17"/>
  <c r="V379" i="17"/>
  <c r="V378" i="17"/>
  <c r="V377" i="17"/>
  <c r="V376" i="17"/>
  <c r="V375" i="17"/>
  <c r="V374" i="17"/>
  <c r="V373" i="17"/>
  <c r="V372" i="17"/>
  <c r="V371" i="17"/>
  <c r="V370" i="17"/>
  <c r="V369" i="17"/>
  <c r="V368" i="17"/>
  <c r="V367" i="17"/>
  <c r="V366" i="17"/>
  <c r="V365" i="17"/>
  <c r="V364" i="17"/>
  <c r="V363" i="17"/>
  <c r="V362" i="17"/>
  <c r="V361" i="17"/>
  <c r="V360" i="17"/>
  <c r="V359" i="17"/>
  <c r="V358" i="17"/>
  <c r="V357" i="17"/>
  <c r="V356" i="17"/>
  <c r="V355" i="17"/>
  <c r="V354" i="17"/>
  <c r="V353" i="17"/>
  <c r="V352" i="17"/>
  <c r="V351" i="17"/>
  <c r="V350" i="17"/>
  <c r="V349" i="17"/>
  <c r="V348" i="17"/>
  <c r="V347" i="17"/>
  <c r="V346" i="17"/>
  <c r="V345" i="17"/>
  <c r="V344" i="17"/>
  <c r="V343" i="17"/>
  <c r="V342" i="17"/>
  <c r="V341" i="17"/>
  <c r="V340" i="17"/>
  <c r="V339" i="17"/>
  <c r="V338" i="17"/>
  <c r="V337" i="17"/>
  <c r="V336" i="17"/>
  <c r="V335" i="17"/>
  <c r="V334" i="17"/>
  <c r="V333" i="17"/>
  <c r="V332" i="17"/>
  <c r="V331" i="17"/>
  <c r="V330" i="17"/>
  <c r="V329" i="17"/>
  <c r="V328" i="17"/>
  <c r="V327" i="17"/>
  <c r="V326" i="17"/>
  <c r="V325" i="17"/>
  <c r="V324" i="17"/>
  <c r="V323" i="17"/>
  <c r="V322" i="17"/>
  <c r="V321" i="17"/>
  <c r="V320" i="17"/>
  <c r="V319" i="17"/>
  <c r="V318" i="17"/>
  <c r="V317" i="17"/>
  <c r="V316" i="17"/>
  <c r="V315" i="17"/>
  <c r="V314" i="17"/>
  <c r="V313" i="17"/>
  <c r="V312" i="17"/>
  <c r="V311" i="17"/>
  <c r="V310" i="17"/>
  <c r="V309" i="17"/>
  <c r="V308" i="17"/>
  <c r="V307" i="17"/>
  <c r="V306" i="17"/>
  <c r="V305" i="17"/>
  <c r="V304" i="17"/>
  <c r="V303" i="17"/>
  <c r="V302" i="17"/>
  <c r="V301" i="17"/>
  <c r="V300" i="17"/>
  <c r="V299" i="17"/>
  <c r="V298" i="17"/>
  <c r="V297" i="17"/>
  <c r="V296" i="17"/>
  <c r="V295" i="17"/>
  <c r="V294" i="17"/>
  <c r="V293" i="17"/>
  <c r="V292" i="17"/>
  <c r="V291" i="17"/>
  <c r="V290" i="17"/>
  <c r="V289" i="17"/>
  <c r="V288" i="17"/>
  <c r="V287" i="17"/>
  <c r="V286" i="17"/>
  <c r="V285" i="17"/>
  <c r="V284" i="17"/>
  <c r="V283" i="17"/>
  <c r="V282" i="17"/>
  <c r="V281" i="17"/>
  <c r="V280" i="17"/>
  <c r="V279" i="17"/>
  <c r="V278" i="17"/>
  <c r="V277" i="17"/>
  <c r="V276" i="17"/>
  <c r="V275" i="17"/>
  <c r="V274" i="17"/>
  <c r="V273" i="17"/>
  <c r="V272" i="17"/>
  <c r="V271" i="17"/>
  <c r="V270" i="17"/>
  <c r="V269" i="17"/>
  <c r="V268" i="17"/>
  <c r="V267" i="17"/>
  <c r="V266" i="17"/>
  <c r="V265" i="17"/>
  <c r="V264" i="17"/>
  <c r="V263" i="17"/>
  <c r="V262" i="17"/>
  <c r="V261" i="17"/>
  <c r="V260" i="17"/>
  <c r="V259" i="17"/>
  <c r="V258" i="17"/>
  <c r="V257" i="17"/>
  <c r="V256" i="17"/>
  <c r="V255" i="17"/>
  <c r="V254" i="17"/>
  <c r="V253" i="17"/>
  <c r="V252" i="17"/>
  <c r="V251" i="17"/>
  <c r="V250" i="17"/>
  <c r="V249" i="17"/>
  <c r="V248" i="17"/>
  <c r="V247" i="17"/>
  <c r="V246" i="17"/>
  <c r="V245" i="17"/>
  <c r="V244" i="17"/>
  <c r="V243" i="17"/>
  <c r="V242" i="17"/>
  <c r="V241" i="17"/>
  <c r="V240" i="17"/>
  <c r="V239" i="17"/>
  <c r="V238" i="17"/>
  <c r="V237" i="17"/>
  <c r="V236" i="17"/>
  <c r="V235" i="17"/>
  <c r="V234" i="17"/>
  <c r="V233" i="17"/>
  <c r="V232" i="17"/>
  <c r="V231" i="17"/>
  <c r="V230" i="17"/>
  <c r="V229" i="17"/>
  <c r="V228" i="17"/>
  <c r="V227" i="17"/>
  <c r="V226" i="17"/>
  <c r="V225" i="17"/>
  <c r="V224" i="17"/>
  <c r="V223" i="17"/>
  <c r="V222" i="17"/>
  <c r="V221" i="17"/>
  <c r="V220" i="17"/>
  <c r="V219" i="17"/>
  <c r="V218" i="17"/>
  <c r="V217" i="17"/>
  <c r="V216" i="17"/>
  <c r="V215" i="17"/>
  <c r="V214" i="17"/>
  <c r="V213" i="17"/>
  <c r="V212" i="17"/>
  <c r="V211" i="17"/>
  <c r="V210" i="17"/>
  <c r="V209" i="17"/>
  <c r="V208" i="17"/>
  <c r="V207" i="17"/>
  <c r="V206" i="17"/>
  <c r="V205" i="17"/>
  <c r="V204" i="17"/>
  <c r="R204" i="17"/>
  <c r="V203" i="17"/>
  <c r="V202" i="17"/>
  <c r="V201" i="17"/>
  <c r="V200" i="17"/>
  <c r="V199" i="17"/>
  <c r="V198" i="17"/>
  <c r="V197" i="17"/>
  <c r="V196" i="17"/>
  <c r="R196" i="17"/>
  <c r="V195" i="17"/>
  <c r="V194" i="17"/>
  <c r="V193" i="17"/>
  <c r="V192" i="17"/>
  <c r="V191" i="17"/>
  <c r="V190" i="17"/>
  <c r="V189" i="17"/>
  <c r="V188" i="17"/>
  <c r="R188" i="17"/>
  <c r="V187" i="17"/>
  <c r="V186" i="17"/>
  <c r="V185" i="17"/>
  <c r="V184" i="17"/>
  <c r="V183" i="17"/>
  <c r="V182" i="17"/>
  <c r="V181" i="17"/>
  <c r="R181" i="17"/>
  <c r="V180" i="17"/>
  <c r="V179" i="17"/>
  <c r="V178" i="17"/>
  <c r="V177" i="17"/>
  <c r="V176" i="17"/>
  <c r="V175" i="17"/>
  <c r="R175" i="17"/>
  <c r="V174" i="17"/>
  <c r="V173" i="17"/>
  <c r="V172" i="17"/>
  <c r="V171" i="17"/>
  <c r="V170" i="17"/>
  <c r="V169" i="17"/>
  <c r="V168" i="17"/>
  <c r="V167" i="17"/>
  <c r="V166" i="17"/>
  <c r="V165" i="17"/>
  <c r="V164" i="17"/>
  <c r="V163" i="17"/>
  <c r="V162" i="17"/>
  <c r="V161" i="17"/>
  <c r="V160" i="17"/>
  <c r="V159" i="17"/>
  <c r="R159" i="17"/>
  <c r="V158" i="17"/>
  <c r="V157" i="17"/>
  <c r="V156" i="17"/>
  <c r="V155" i="17"/>
  <c r="V154" i="17"/>
  <c r="V153" i="17"/>
  <c r="R153" i="17"/>
  <c r="V152" i="17"/>
  <c r="V151" i="17"/>
  <c r="V150" i="17"/>
  <c r="V149" i="17"/>
  <c r="V148" i="17"/>
  <c r="V147" i="17"/>
  <c r="R147" i="17"/>
  <c r="V146" i="17"/>
  <c r="V143" i="17"/>
  <c r="V142" i="17"/>
  <c r="V141" i="17"/>
  <c r="V140" i="17"/>
  <c r="V139" i="17"/>
  <c r="V138" i="17"/>
  <c r="V137" i="17"/>
  <c r="V136" i="17"/>
  <c r="V135" i="17"/>
  <c r="V134" i="17"/>
  <c r="V133" i="17"/>
  <c r="V132" i="17"/>
  <c r="V131" i="17"/>
  <c r="V130" i="17"/>
  <c r="V129" i="17"/>
  <c r="V128" i="17"/>
  <c r="V127" i="17"/>
  <c r="V126" i="17"/>
  <c r="V125" i="17"/>
  <c r="V124" i="17"/>
  <c r="V123" i="17"/>
  <c r="V122" i="17"/>
  <c r="V121" i="17"/>
  <c r="V120" i="17"/>
  <c r="V119" i="17"/>
  <c r="V118" i="17"/>
  <c r="V117" i="17"/>
  <c r="V116" i="17"/>
  <c r="V115" i="17"/>
  <c r="V114" i="17"/>
  <c r="V113" i="17"/>
  <c r="V112" i="17"/>
  <c r="V111" i="17"/>
  <c r="V110" i="17"/>
  <c r="V109" i="17"/>
  <c r="V108" i="17"/>
  <c r="V107" i="17"/>
  <c r="V106" i="17"/>
  <c r="V105" i="17"/>
  <c r="V104" i="17"/>
  <c r="V103" i="17"/>
  <c r="V102" i="17"/>
  <c r="V101" i="17"/>
  <c r="V100" i="17"/>
  <c r="V99" i="17"/>
  <c r="V98" i="17"/>
  <c r="V97" i="17"/>
  <c r="V96" i="17"/>
  <c r="V95" i="17"/>
  <c r="V94" i="17"/>
  <c r="V93" i="17"/>
  <c r="V92" i="17"/>
  <c r="V91" i="17"/>
  <c r="V90" i="17"/>
  <c r="V89" i="17"/>
  <c r="V88" i="17"/>
  <c r="V87" i="17"/>
  <c r="V86" i="17"/>
  <c r="V85" i="17"/>
  <c r="V84" i="17"/>
  <c r="V83" i="17"/>
  <c r="V82" i="17"/>
  <c r="V81" i="17"/>
  <c r="V80" i="17"/>
  <c r="V79" i="17"/>
  <c r="V78" i="17"/>
  <c r="V77" i="17"/>
  <c r="V76" i="17"/>
  <c r="V75" i="17"/>
  <c r="V74" i="17"/>
  <c r="V73" i="17"/>
  <c r="V72" i="17"/>
  <c r="V71" i="17"/>
  <c r="V70" i="17"/>
  <c r="V69" i="17"/>
  <c r="V68" i="17"/>
  <c r="V67" i="17"/>
  <c r="V66" i="17"/>
  <c r="V65" i="17"/>
  <c r="V64" i="17"/>
  <c r="V63" i="17"/>
  <c r="V62" i="17"/>
  <c r="V61" i="17"/>
  <c r="V60" i="17"/>
  <c r="V59" i="17"/>
  <c r="V58" i="17"/>
  <c r="V57" i="17"/>
  <c r="V56" i="17"/>
  <c r="V55" i="17"/>
  <c r="V54" i="17"/>
  <c r="V53" i="17"/>
  <c r="V52" i="17"/>
  <c r="V51" i="17"/>
  <c r="V50" i="17"/>
  <c r="V49" i="17"/>
  <c r="V48" i="17"/>
  <c r="V47" i="17"/>
  <c r="V46" i="17"/>
  <c r="V45" i="17"/>
  <c r="V44" i="17"/>
  <c r="V43" i="17"/>
  <c r="V42" i="17"/>
  <c r="V41" i="17"/>
  <c r="V40" i="17"/>
  <c r="V39" i="17"/>
  <c r="V38" i="17"/>
  <c r="V37" i="17"/>
  <c r="V36" i="17"/>
  <c r="V35" i="17"/>
  <c r="V34" i="17"/>
  <c r="V33" i="17"/>
  <c r="V32" i="17"/>
  <c r="V31" i="17"/>
  <c r="V30" i="17"/>
  <c r="V29" i="17"/>
  <c r="V28" i="17"/>
  <c r="V27" i="17"/>
  <c r="V26" i="17"/>
  <c r="V25" i="17"/>
  <c r="V24" i="17"/>
  <c r="U24" i="17"/>
  <c r="T24" i="17"/>
  <c r="P24" i="17"/>
  <c r="O24" i="17"/>
  <c r="V23" i="17"/>
  <c r="U23" i="17"/>
  <c r="T23" i="17"/>
  <c r="P23" i="17"/>
  <c r="V22" i="17"/>
  <c r="U22" i="17"/>
  <c r="T22" i="17"/>
  <c r="P22" i="17"/>
  <c r="V21" i="17"/>
  <c r="V20" i="17"/>
  <c r="V19" i="17"/>
  <c r="V18" i="17"/>
  <c r="V17" i="17"/>
  <c r="V16" i="17"/>
  <c r="V15" i="17"/>
  <c r="V14" i="17"/>
  <c r="V13" i="17"/>
  <c r="V12" i="17"/>
  <c r="V11" i="17"/>
  <c r="U11" i="17"/>
  <c r="V10" i="17"/>
  <c r="O10" i="17"/>
  <c r="V9" i="17"/>
  <c r="O9" i="17"/>
  <c r="V8" i="17"/>
  <c r="O8" i="17"/>
  <c r="V7" i="17"/>
  <c r="O7" i="17"/>
  <c r="V6" i="17"/>
  <c r="V5" i="17"/>
  <c r="V4" i="17"/>
  <c r="V3" i="17"/>
  <c r="O3" i="17"/>
  <c r="F6" i="14"/>
  <c r="C86" i="5"/>
  <c r="B86" i="5"/>
  <c r="C85" i="5"/>
  <c r="B85" i="5"/>
  <c r="C84" i="5"/>
  <c r="B84" i="5"/>
  <c r="C83" i="5"/>
  <c r="B83" i="5"/>
  <c r="C82" i="5"/>
  <c r="B82" i="5"/>
  <c r="C81" i="5"/>
  <c r="B81" i="5"/>
  <c r="C80" i="5"/>
  <c r="B80" i="5"/>
  <c r="C79" i="5"/>
  <c r="B79" i="5"/>
  <c r="C78" i="5"/>
  <c r="B78" i="5"/>
  <c r="C77" i="5"/>
  <c r="B77" i="5"/>
  <c r="C76" i="5"/>
  <c r="B76" i="5"/>
  <c r="C75" i="5"/>
  <c r="B75" i="5"/>
  <c r="C74" i="5"/>
  <c r="B74" i="5"/>
  <c r="C73" i="5"/>
  <c r="B73" i="5"/>
  <c r="C72" i="5"/>
  <c r="B72" i="5"/>
  <c r="C71" i="5"/>
  <c r="B71" i="5"/>
  <c r="C70" i="5"/>
  <c r="B70" i="5"/>
  <c r="C69" i="5"/>
  <c r="B69" i="5"/>
  <c r="C68" i="5"/>
  <c r="B68" i="5"/>
  <c r="C67" i="5"/>
  <c r="B67" i="5"/>
  <c r="C66" i="5"/>
  <c r="B66" i="5"/>
  <c r="C65" i="5"/>
  <c r="B65" i="5"/>
  <c r="C64" i="5"/>
  <c r="B64" i="5"/>
  <c r="C63" i="5"/>
  <c r="B63" i="5"/>
  <c r="C62" i="5"/>
  <c r="B62" i="5"/>
  <c r="C61" i="5"/>
  <c r="B61" i="5"/>
  <c r="C60" i="5"/>
  <c r="B60" i="5"/>
  <c r="C59" i="5"/>
  <c r="B59" i="5"/>
  <c r="C58" i="5"/>
  <c r="B58" i="5"/>
  <c r="C57" i="5"/>
  <c r="B57" i="5"/>
  <c r="C56" i="5"/>
  <c r="B56" i="5"/>
  <c r="C55" i="5"/>
  <c r="B55" i="5"/>
  <c r="J48" i="5"/>
  <c r="I48" i="5"/>
  <c r="G48" i="5"/>
  <c r="J47" i="5"/>
  <c r="I47" i="5"/>
  <c r="G47" i="5"/>
  <c r="J46" i="5"/>
  <c r="I46" i="5"/>
  <c r="G46" i="5"/>
  <c r="I45" i="5"/>
  <c r="G45" i="5"/>
  <c r="J44" i="5"/>
  <c r="I44" i="5"/>
  <c r="G44" i="5"/>
  <c r="J43" i="5"/>
  <c r="I43" i="5"/>
  <c r="G43" i="5"/>
  <c r="J42" i="5"/>
  <c r="I42" i="5"/>
  <c r="G42" i="5"/>
  <c r="J41" i="5"/>
  <c r="I41" i="5"/>
  <c r="G41" i="5"/>
  <c r="J40" i="5"/>
  <c r="I40" i="5"/>
  <c r="G40" i="5"/>
  <c r="J39" i="5"/>
  <c r="I39" i="5"/>
  <c r="G39" i="5"/>
  <c r="J38" i="5"/>
  <c r="I38" i="5"/>
  <c r="G38" i="5"/>
  <c r="J37" i="5"/>
  <c r="I37" i="5"/>
  <c r="G37" i="5"/>
  <c r="J36" i="5"/>
  <c r="I36" i="5"/>
  <c r="G36" i="5"/>
  <c r="J35" i="5"/>
  <c r="I35" i="5"/>
  <c r="G35" i="5"/>
  <c r="J34" i="5"/>
  <c r="I34" i="5"/>
  <c r="G34" i="5"/>
  <c r="J33" i="5"/>
  <c r="I33" i="5"/>
  <c r="G33" i="5"/>
  <c r="J32" i="5"/>
  <c r="I32" i="5"/>
  <c r="G32" i="5"/>
  <c r="J31" i="5"/>
  <c r="I31" i="5"/>
  <c r="G31" i="5"/>
  <c r="J30" i="5"/>
  <c r="I30" i="5"/>
  <c r="G30" i="5"/>
  <c r="J29" i="5"/>
  <c r="I29" i="5"/>
  <c r="G29" i="5"/>
  <c r="J28" i="5"/>
  <c r="I28" i="5"/>
  <c r="G28" i="5"/>
  <c r="J27" i="5"/>
  <c r="I27" i="5"/>
  <c r="G27" i="5"/>
  <c r="J26" i="5"/>
  <c r="I26" i="5"/>
  <c r="G26" i="5"/>
  <c r="J25" i="5"/>
  <c r="I25" i="5"/>
  <c r="G25" i="5"/>
  <c r="J24" i="5"/>
  <c r="I24" i="5"/>
  <c r="G24" i="5"/>
  <c r="J23" i="5"/>
  <c r="I23" i="5"/>
  <c r="G23" i="5"/>
  <c r="J22" i="5"/>
  <c r="I22" i="5"/>
  <c r="G22" i="5"/>
  <c r="J21" i="5"/>
  <c r="I21" i="5"/>
  <c r="G21" i="5"/>
  <c r="J20" i="5"/>
  <c r="I20" i="5"/>
  <c r="G20" i="5"/>
  <c r="J19" i="5"/>
  <c r="I19" i="5"/>
  <c r="G19" i="5"/>
  <c r="J18" i="5"/>
  <c r="I18" i="5"/>
  <c r="G18" i="5"/>
  <c r="J17" i="5"/>
  <c r="I17" i="5"/>
  <c r="G17" i="5"/>
  <c r="J16" i="5"/>
  <c r="I16" i="5"/>
  <c r="G16" i="5"/>
  <c r="J15" i="5"/>
  <c r="I15" i="5"/>
  <c r="G15" i="5"/>
  <c r="J14" i="5"/>
  <c r="I14" i="5"/>
  <c r="G14" i="5"/>
  <c r="J13" i="5"/>
  <c r="I13" i="5"/>
  <c r="G13" i="5"/>
  <c r="J12" i="5"/>
  <c r="I12" i="5"/>
  <c r="G12" i="5"/>
  <c r="J11" i="5"/>
  <c r="I11" i="5"/>
  <c r="G11" i="5"/>
  <c r="J10" i="5"/>
  <c r="I10" i="5"/>
  <c r="G10" i="5"/>
  <c r="J9" i="5"/>
  <c r="I9" i="5"/>
  <c r="G9" i="5"/>
  <c r="J8" i="5"/>
  <c r="I8" i="5"/>
  <c r="G8" i="5"/>
  <c r="I48" i="12"/>
  <c r="H48" i="12" a="1"/>
  <c r="H48" i="12" s="1"/>
  <c r="G48" i="12" a="1"/>
  <c r="G48" i="12" s="1"/>
  <c r="F48" i="12" a="1"/>
  <c r="F48" i="12" s="1"/>
  <c r="I47" i="12"/>
  <c r="H47" i="12" a="1"/>
  <c r="H47" i="12"/>
  <c r="G47" i="12" a="1"/>
  <c r="G47" i="12"/>
  <c r="F47" i="12" a="1"/>
  <c r="F47" i="12"/>
  <c r="L47" i="12" s="1" a="1"/>
  <c r="L47" i="12" s="1"/>
  <c r="I46" i="12"/>
  <c r="H46" i="12" a="1"/>
  <c r="H46" i="12" s="1"/>
  <c r="G46" i="12" a="1"/>
  <c r="G46" i="12" s="1"/>
  <c r="F46" i="12" a="1"/>
  <c r="F46" i="12" s="1"/>
  <c r="O45" i="12" a="1"/>
  <c r="O45" i="12" s="1"/>
  <c r="N45" i="12" a="1"/>
  <c r="N45" i="12" s="1"/>
  <c r="M45" i="12" a="1"/>
  <c r="M45" i="12" s="1"/>
  <c r="K45" i="12" a="1"/>
  <c r="K45" i="12" s="1"/>
  <c r="I45" i="12"/>
  <c r="H45" i="12" a="1"/>
  <c r="H45" i="12"/>
  <c r="G45" i="12" a="1"/>
  <c r="G45" i="12"/>
  <c r="F45" i="12" a="1"/>
  <c r="F45" i="12"/>
  <c r="L45" i="12" s="1" a="1"/>
  <c r="L45" i="12" s="1"/>
  <c r="I44" i="12"/>
  <c r="H44" i="12" a="1"/>
  <c r="H44" i="12" s="1"/>
  <c r="G44" i="12" a="1"/>
  <c r="G44" i="12" s="1"/>
  <c r="F44" i="12" a="1"/>
  <c r="F44" i="12" s="1"/>
  <c r="O43" i="12" a="1"/>
  <c r="O43" i="12" s="1"/>
  <c r="N43" i="12" a="1"/>
  <c r="N43" i="12" s="1"/>
  <c r="K43" i="12" a="1"/>
  <c r="K43" i="12" s="1"/>
  <c r="I43" i="12"/>
  <c r="H43" i="12" a="1"/>
  <c r="H43" i="12"/>
  <c r="G43" i="12" a="1"/>
  <c r="G43" i="12"/>
  <c r="F43" i="12" a="1"/>
  <c r="F43" i="12"/>
  <c r="M43" i="12" s="1" a="1"/>
  <c r="M43" i="12" s="1"/>
  <c r="I42" i="12"/>
  <c r="H42" i="12" a="1"/>
  <c r="H42" i="12" s="1"/>
  <c r="G42" i="12" a="1"/>
  <c r="G42" i="12" s="1"/>
  <c r="F42" i="12" a="1"/>
  <c r="F42" i="12" s="1"/>
  <c r="O41" i="12" a="1"/>
  <c r="O41" i="12" s="1"/>
  <c r="M41" i="12" a="1"/>
  <c r="M41" i="12" s="1"/>
  <c r="I41" i="12"/>
  <c r="H41" i="12" a="1"/>
  <c r="H41" i="12"/>
  <c r="G41" i="12" a="1"/>
  <c r="G41" i="12"/>
  <c r="F41" i="12" a="1"/>
  <c r="F41" i="12"/>
  <c r="N41" i="12" s="1" a="1"/>
  <c r="N41" i="12" s="1"/>
  <c r="I40" i="12"/>
  <c r="H40" i="12" a="1"/>
  <c r="H40" i="12" s="1"/>
  <c r="G40" i="12" a="1"/>
  <c r="G40" i="12" s="1"/>
  <c r="F40" i="12" a="1"/>
  <c r="F40" i="12" s="1"/>
  <c r="L39" i="12" a="1"/>
  <c r="L39" i="12" s="1"/>
  <c r="I39" i="12"/>
  <c r="H39" i="12" a="1"/>
  <c r="H39" i="12"/>
  <c r="G39" i="12" a="1"/>
  <c r="G39" i="12"/>
  <c r="F39" i="12" a="1"/>
  <c r="F39" i="12"/>
  <c r="I38" i="12"/>
  <c r="H38" i="12" a="1"/>
  <c r="H38" i="12" s="1"/>
  <c r="G38" i="12" a="1"/>
  <c r="G38" i="12" s="1"/>
  <c r="F38" i="12" a="1"/>
  <c r="F38" i="12" s="1"/>
  <c r="O37" i="12" a="1"/>
  <c r="O37" i="12" s="1"/>
  <c r="N37" i="12" a="1"/>
  <c r="N37" i="12" s="1"/>
  <c r="M37" i="12" a="1"/>
  <c r="M37" i="12" s="1"/>
  <c r="K37" i="12" a="1"/>
  <c r="K37" i="12" s="1"/>
  <c r="I37" i="12"/>
  <c r="H37" i="12" a="1"/>
  <c r="H37" i="12"/>
  <c r="G37" i="12" a="1"/>
  <c r="G37" i="12"/>
  <c r="F37" i="12" a="1"/>
  <c r="F37" i="12"/>
  <c r="L37" i="12" s="1" a="1"/>
  <c r="L37" i="12" s="1"/>
  <c r="I36" i="12"/>
  <c r="H36" i="12" a="1"/>
  <c r="H36" i="12" s="1"/>
  <c r="G36" i="12" a="1"/>
  <c r="G36" i="12" s="1"/>
  <c r="F36" i="12" a="1"/>
  <c r="F36" i="12" s="1"/>
  <c r="L35" i="12" a="1"/>
  <c r="L35" i="12" s="1"/>
  <c r="I35" i="12"/>
  <c r="H35" i="12" a="1"/>
  <c r="H35" i="12"/>
  <c r="G35" i="12" a="1"/>
  <c r="G35" i="12"/>
  <c r="F35" i="12" a="1"/>
  <c r="F35" i="12"/>
  <c r="I34" i="12"/>
  <c r="H34" i="12" a="1"/>
  <c r="H34" i="12" s="1"/>
  <c r="G34" i="12" a="1"/>
  <c r="G34" i="12" s="1"/>
  <c r="F34" i="12" a="1"/>
  <c r="F34" i="12" s="1"/>
  <c r="I33" i="12"/>
  <c r="H33" i="12" a="1"/>
  <c r="H33" i="12"/>
  <c r="G33" i="12" a="1"/>
  <c r="G33" i="12"/>
  <c r="F33" i="12" a="1"/>
  <c r="F33" i="12"/>
  <c r="I32" i="12"/>
  <c r="H32" i="12" a="1"/>
  <c r="H32" i="12" s="1"/>
  <c r="G32" i="12" a="1"/>
  <c r="G32" i="12" s="1"/>
  <c r="F32" i="12" a="1"/>
  <c r="F32" i="12" s="1"/>
  <c r="N31" i="12" a="1"/>
  <c r="N31" i="12" s="1"/>
  <c r="I31" i="12"/>
  <c r="H31" i="12" a="1"/>
  <c r="H31" i="12"/>
  <c r="G31" i="12" a="1"/>
  <c r="G31" i="12"/>
  <c r="F31" i="12" a="1"/>
  <c r="F31" i="12"/>
  <c r="L31" i="12" s="1" a="1"/>
  <c r="L31" i="12" s="1"/>
  <c r="I30" i="12"/>
  <c r="H30" i="12" a="1"/>
  <c r="H30" i="12" s="1"/>
  <c r="G30" i="12" a="1"/>
  <c r="G30" i="12" s="1"/>
  <c r="F30" i="12" a="1"/>
  <c r="F30" i="12" s="1"/>
  <c r="O29" i="12" a="1"/>
  <c r="O29" i="12" s="1"/>
  <c r="N29" i="12" a="1"/>
  <c r="N29" i="12" s="1"/>
  <c r="M29" i="12" a="1"/>
  <c r="M29" i="12" s="1"/>
  <c r="K29" i="12" a="1"/>
  <c r="K29" i="12" s="1"/>
  <c r="I29" i="12"/>
  <c r="H29" i="12" a="1"/>
  <c r="H29" i="12"/>
  <c r="G29" i="12" a="1"/>
  <c r="G29" i="12"/>
  <c r="F29" i="12" a="1"/>
  <c r="F29" i="12"/>
  <c r="L29" i="12" s="1" a="1"/>
  <c r="L29" i="12" s="1"/>
  <c r="I28" i="12"/>
  <c r="H28" i="12" a="1"/>
  <c r="H28" i="12" s="1"/>
  <c r="G28" i="12" a="1"/>
  <c r="G28" i="12" s="1"/>
  <c r="F28" i="12" a="1"/>
  <c r="F28" i="12" s="1"/>
  <c r="O27" i="12" a="1"/>
  <c r="O27" i="12" s="1"/>
  <c r="N27" i="12" a="1"/>
  <c r="N27" i="12" s="1"/>
  <c r="K27" i="12" a="1"/>
  <c r="K27" i="12" s="1"/>
  <c r="I27" i="12"/>
  <c r="H27" i="12" a="1"/>
  <c r="H27" i="12"/>
  <c r="G27" i="12" a="1"/>
  <c r="G27" i="12"/>
  <c r="F27" i="12" a="1"/>
  <c r="F27" i="12"/>
  <c r="M27" i="12" s="1" a="1"/>
  <c r="M27" i="12" s="1"/>
  <c r="I26" i="12"/>
  <c r="H26" i="12" a="1"/>
  <c r="H26" i="12" s="1"/>
  <c r="G26" i="12" a="1"/>
  <c r="G26" i="12" s="1"/>
  <c r="F26" i="12" a="1"/>
  <c r="F26" i="12" s="1"/>
  <c r="O25" i="12" a="1"/>
  <c r="O25" i="12" s="1"/>
  <c r="M25" i="12" a="1"/>
  <c r="M25" i="12" s="1"/>
  <c r="I25" i="12"/>
  <c r="H25" i="12" a="1"/>
  <c r="H25" i="12"/>
  <c r="G25" i="12" a="1"/>
  <c r="G25" i="12"/>
  <c r="F25" i="12" a="1"/>
  <c r="F25" i="12"/>
  <c r="N25" i="12" s="1" a="1"/>
  <c r="N25" i="12" s="1"/>
  <c r="I24" i="12"/>
  <c r="H24" i="12" a="1"/>
  <c r="H24" i="12" s="1"/>
  <c r="G24" i="12" a="1"/>
  <c r="G24" i="12" s="1"/>
  <c r="F24" i="12" a="1"/>
  <c r="F24" i="12" s="1"/>
  <c r="L23" i="12" a="1"/>
  <c r="L23" i="12" s="1"/>
  <c r="I23" i="12"/>
  <c r="H23" i="12" a="1"/>
  <c r="H23" i="12"/>
  <c r="G23" i="12" a="1"/>
  <c r="G23" i="12"/>
  <c r="F23" i="12" a="1"/>
  <c r="F23" i="12"/>
  <c r="I22" i="12"/>
  <c r="H22" i="12" a="1"/>
  <c r="H22" i="12"/>
  <c r="G22" i="12" a="1"/>
  <c r="G22" i="12"/>
  <c r="F22" i="12" a="1"/>
  <c r="F22" i="12"/>
  <c r="N22" i="12" s="1" a="1"/>
  <c r="N22" i="12" s="1"/>
  <c r="I21" i="12"/>
  <c r="H21" i="12" a="1"/>
  <c r="H21" i="12" s="1"/>
  <c r="G21" i="12" a="1"/>
  <c r="G21" i="12"/>
  <c r="F21" i="12" a="1"/>
  <c r="F21" i="12" s="1"/>
  <c r="N20" i="12" a="1"/>
  <c r="N20" i="12" s="1"/>
  <c r="K20" i="12" a="1"/>
  <c r="K20" i="12"/>
  <c r="I20" i="12"/>
  <c r="H20" i="12" a="1"/>
  <c r="H20" i="12"/>
  <c r="G20" i="12" a="1"/>
  <c r="G20" i="12" s="1"/>
  <c r="F20" i="12" a="1"/>
  <c r="F20" i="12"/>
  <c r="O19" i="12" a="1"/>
  <c r="O19" i="12" s="1"/>
  <c r="M19" i="12" a="1"/>
  <c r="M19" i="12"/>
  <c r="I19" i="12"/>
  <c r="H19" i="12" a="1"/>
  <c r="H19" i="12" s="1"/>
  <c r="G19" i="12" a="1"/>
  <c r="G19" i="12" s="1"/>
  <c r="F19" i="12" a="1"/>
  <c r="F19" i="12" s="1"/>
  <c r="I18" i="12"/>
  <c r="H18" i="12" a="1"/>
  <c r="H18" i="12"/>
  <c r="G18" i="12" a="1"/>
  <c r="G18" i="12"/>
  <c r="F18" i="12" a="1"/>
  <c r="F18" i="12"/>
  <c r="I17" i="12"/>
  <c r="H17" i="12" a="1"/>
  <c r="H17" i="12" s="1"/>
  <c r="G17" i="12" a="1"/>
  <c r="G17" i="12" s="1"/>
  <c r="F17" i="12" a="1"/>
  <c r="F17" i="12" s="1"/>
  <c r="L17" i="12" s="1" a="1"/>
  <c r="L17" i="12" s="1"/>
  <c r="O16" i="12" a="1"/>
  <c r="O16" i="12" s="1"/>
  <c r="M16" i="12" a="1"/>
  <c r="M16" i="12"/>
  <c r="L16" i="12" a="1"/>
  <c r="L16" i="12" s="1"/>
  <c r="I16" i="12"/>
  <c r="H16" i="12" a="1"/>
  <c r="H16" i="12"/>
  <c r="G16" i="12" a="1"/>
  <c r="G16" i="12" s="1"/>
  <c r="F16" i="12" a="1"/>
  <c r="F16" i="12"/>
  <c r="N16" i="12" s="1" a="1"/>
  <c r="N16" i="12" s="1"/>
  <c r="O15" i="12" a="1"/>
  <c r="O15" i="12" s="1"/>
  <c r="I15" i="12"/>
  <c r="H15" i="12" a="1"/>
  <c r="H15" i="12" s="1"/>
  <c r="G15" i="12" a="1"/>
  <c r="G15" i="12" s="1"/>
  <c r="F15" i="12" a="1"/>
  <c r="F15" i="12"/>
  <c r="I14" i="12"/>
  <c r="H14" i="12" a="1"/>
  <c r="H14" i="12" s="1"/>
  <c r="G14" i="12" a="1"/>
  <c r="G14" i="12"/>
  <c r="F14" i="12" a="1"/>
  <c r="F14" i="12" s="1"/>
  <c r="N13" i="12" a="1"/>
  <c r="N13" i="12" s="1"/>
  <c r="L13" i="12" a="1"/>
  <c r="L13" i="12"/>
  <c r="I13" i="12"/>
  <c r="H13" i="12" a="1"/>
  <c r="H13" i="12" s="1"/>
  <c r="G13" i="12" a="1"/>
  <c r="G13" i="12" s="1"/>
  <c r="F13" i="12" a="1"/>
  <c r="F13" i="12" s="1"/>
  <c r="O12" i="12" a="1"/>
  <c r="O12" i="12"/>
  <c r="L12" i="12" a="1"/>
  <c r="L12" i="12" s="1"/>
  <c r="I12" i="12"/>
  <c r="H12" i="12" a="1"/>
  <c r="H12" i="12"/>
  <c r="G12" i="12" a="1"/>
  <c r="G12" i="12"/>
  <c r="F12" i="12" a="1"/>
  <c r="F12" i="12"/>
  <c r="N12" i="12" s="1" a="1"/>
  <c r="N12" i="12" s="1"/>
  <c r="K11" i="12" a="1"/>
  <c r="K11" i="12" s="1"/>
  <c r="I11" i="12"/>
  <c r="H11" i="12" a="1"/>
  <c r="H11" i="12"/>
  <c r="G11" i="12" a="1"/>
  <c r="G11" i="12" s="1"/>
  <c r="F11" i="12" a="1"/>
  <c r="F11" i="12"/>
  <c r="O10" i="12" a="1"/>
  <c r="O10" i="12" s="1"/>
  <c r="M10" i="12" a="1"/>
  <c r="M10" i="12" s="1"/>
  <c r="L10" i="12" a="1"/>
  <c r="L10" i="12" s="1"/>
  <c r="I10" i="12"/>
  <c r="H10" i="12" a="1"/>
  <c r="H10" i="12" s="1"/>
  <c r="G10" i="12" a="1"/>
  <c r="G10" i="12"/>
  <c r="F10" i="12" a="1"/>
  <c r="F10" i="12" s="1"/>
  <c r="N9" i="12" a="1"/>
  <c r="N9" i="12"/>
  <c r="L9" i="12"/>
  <c r="I9" i="12"/>
  <c r="H9" i="12" a="1"/>
  <c r="H9" i="12" s="1"/>
  <c r="G9" i="12" a="1"/>
  <c r="G9" i="12" s="1"/>
  <c r="F9" i="12" a="1"/>
  <c r="F9" i="12" s="1"/>
  <c r="L9" i="12" s="1" a="1"/>
  <c r="I8" i="12"/>
  <c r="H8" i="12" a="1"/>
  <c r="H8" i="12"/>
  <c r="G8" i="12" a="1"/>
  <c r="G8" i="12" s="1"/>
  <c r="F8" i="12" a="1"/>
  <c r="F8" i="12"/>
  <c r="H6" i="12"/>
  <c r="O49" i="19" a="1"/>
  <c r="O49" i="19"/>
  <c r="N49" i="19" a="1"/>
  <c r="N49" i="19" s="1"/>
  <c r="L49" i="19" a="1"/>
  <c r="L49" i="19" s="1"/>
  <c r="J49" i="19"/>
  <c r="I49" i="19" a="1"/>
  <c r="I49" i="19"/>
  <c r="H49" i="19" a="1"/>
  <c r="H49" i="19"/>
  <c r="G49" i="19" a="1"/>
  <c r="G49" i="19"/>
  <c r="O48" i="19" a="1"/>
  <c r="O48" i="19" s="1"/>
  <c r="J48" i="19"/>
  <c r="I48" i="19" a="1"/>
  <c r="I48" i="19" s="1"/>
  <c r="H48" i="19" a="1"/>
  <c r="H48" i="19" s="1"/>
  <c r="G48" i="19" a="1"/>
  <c r="G48" i="19" s="1"/>
  <c r="P47" i="19" a="1"/>
  <c r="P47" i="19"/>
  <c r="N47" i="19" a="1"/>
  <c r="N47" i="19"/>
  <c r="M47" i="19" a="1"/>
  <c r="M47" i="19" s="1"/>
  <c r="J47" i="19"/>
  <c r="I47" i="19" a="1"/>
  <c r="I47" i="19"/>
  <c r="H47" i="19" a="1"/>
  <c r="H47" i="19" s="1"/>
  <c r="G47" i="19" a="1"/>
  <c r="G47" i="19"/>
  <c r="O47" i="19" s="1" a="1"/>
  <c r="O47" i="19" s="1"/>
  <c r="P46" i="19" a="1"/>
  <c r="P46" i="19" s="1"/>
  <c r="J46" i="19"/>
  <c r="I46" i="19" a="1"/>
  <c r="I46" i="19"/>
  <c r="H46" i="19" a="1"/>
  <c r="H46" i="19" s="1"/>
  <c r="G46" i="19" a="1"/>
  <c r="G46" i="19"/>
  <c r="P45" i="19" a="1"/>
  <c r="P45" i="19" s="1"/>
  <c r="N45" i="19" a="1"/>
  <c r="N45" i="19" s="1"/>
  <c r="M45" i="19" a="1"/>
  <c r="M45" i="19" s="1"/>
  <c r="L45" i="19" a="1"/>
  <c r="L45" i="19" s="1"/>
  <c r="J45" i="19"/>
  <c r="I45" i="19" a="1"/>
  <c r="I45" i="19" s="1"/>
  <c r="H45" i="19" a="1"/>
  <c r="H45" i="19"/>
  <c r="G45" i="19" a="1"/>
  <c r="G45" i="19" s="1"/>
  <c r="O45" i="19" s="1" a="1"/>
  <c r="O45" i="19" s="1"/>
  <c r="O44" i="19" a="1"/>
  <c r="O44" i="19"/>
  <c r="M44" i="19" a="1"/>
  <c r="M44" i="19"/>
  <c r="J44" i="19"/>
  <c r="I44" i="19" a="1"/>
  <c r="I44" i="19" s="1"/>
  <c r="H44" i="19" a="1"/>
  <c r="H44" i="19"/>
  <c r="G44" i="19" a="1"/>
  <c r="G44" i="19" s="1"/>
  <c r="O43" i="19" a="1"/>
  <c r="O43" i="19" s="1"/>
  <c r="N43" i="19"/>
  <c r="L43" i="19" a="1"/>
  <c r="L43" i="19" s="1"/>
  <c r="J43" i="19"/>
  <c r="I43" i="19" a="1"/>
  <c r="I43" i="19"/>
  <c r="H43" i="19" a="1"/>
  <c r="H43" i="19"/>
  <c r="G43" i="19" a="1"/>
  <c r="G43" i="19"/>
  <c r="N43" i="19" s="1" a="1"/>
  <c r="N42" i="19" a="1"/>
  <c r="N42" i="19" s="1"/>
  <c r="L42" i="19" a="1"/>
  <c r="L42" i="19"/>
  <c r="J42" i="19"/>
  <c r="I42" i="19" a="1"/>
  <c r="I42" i="19"/>
  <c r="H42" i="19" a="1"/>
  <c r="H42" i="19" s="1"/>
  <c r="G42" i="19" a="1"/>
  <c r="G42" i="19"/>
  <c r="J41" i="19"/>
  <c r="I41" i="19" a="1"/>
  <c r="I41" i="19" s="1"/>
  <c r="H41" i="19" a="1"/>
  <c r="H41" i="19"/>
  <c r="G41" i="19" a="1"/>
  <c r="G41" i="19" s="1"/>
  <c r="J40" i="19"/>
  <c r="I40" i="19" a="1"/>
  <c r="I40" i="19" s="1"/>
  <c r="H40" i="19" a="1"/>
  <c r="H40" i="19"/>
  <c r="G40" i="19" a="1"/>
  <c r="G40" i="19" s="1"/>
  <c r="P39" i="19"/>
  <c r="L39" i="19" a="1"/>
  <c r="L39" i="19" s="1"/>
  <c r="J39" i="19"/>
  <c r="I39" i="19" a="1"/>
  <c r="I39" i="19"/>
  <c r="H39" i="19" a="1"/>
  <c r="H39" i="19" s="1"/>
  <c r="G39" i="19" a="1"/>
  <c r="G39" i="19"/>
  <c r="P39" i="19" s="1" a="1"/>
  <c r="P38" i="19" a="1"/>
  <c r="P38" i="19" s="1"/>
  <c r="L38" i="19" a="1"/>
  <c r="L38" i="19" s="1"/>
  <c r="J38" i="19"/>
  <c r="I38" i="19" a="1"/>
  <c r="I38" i="19"/>
  <c r="H38" i="19" a="1"/>
  <c r="H38" i="19" s="1"/>
  <c r="G38" i="19" a="1"/>
  <c r="G38" i="19" s="1"/>
  <c r="O37" i="19" a="1"/>
  <c r="O37" i="19" s="1"/>
  <c r="L37" i="19" a="1"/>
  <c r="L37" i="19" s="1"/>
  <c r="J37" i="19"/>
  <c r="I37" i="19" a="1"/>
  <c r="I37" i="19"/>
  <c r="H37" i="19" a="1"/>
  <c r="H37" i="19"/>
  <c r="G37" i="19" a="1"/>
  <c r="G37" i="19"/>
  <c r="N37" i="19" s="1" a="1"/>
  <c r="N37" i="19" s="1"/>
  <c r="M36" i="19" a="1"/>
  <c r="M36" i="19" s="1"/>
  <c r="J36" i="19"/>
  <c r="I36" i="19" a="1"/>
  <c r="I36" i="19" s="1"/>
  <c r="H36" i="19" a="1"/>
  <c r="H36" i="19"/>
  <c r="G36" i="19" a="1"/>
  <c r="G36" i="19" s="1"/>
  <c r="P35" i="19" a="1"/>
  <c r="P35" i="19" s="1"/>
  <c r="N35" i="19" a="1"/>
  <c r="N35" i="19"/>
  <c r="J35" i="19"/>
  <c r="I35" i="19" a="1"/>
  <c r="I35" i="19"/>
  <c r="H35" i="19" a="1"/>
  <c r="H35" i="19"/>
  <c r="G35" i="19" a="1"/>
  <c r="G35" i="19"/>
  <c r="M35" i="19" s="1" a="1"/>
  <c r="M35" i="19" s="1"/>
  <c r="J34" i="19"/>
  <c r="I34" i="19" a="1"/>
  <c r="I34" i="19" s="1"/>
  <c r="H34" i="19" a="1"/>
  <c r="H34" i="19" s="1"/>
  <c r="G34" i="19" a="1"/>
  <c r="G34" i="19"/>
  <c r="N33" i="19" a="1"/>
  <c r="N33" i="19" s="1"/>
  <c r="L33" i="19" a="1"/>
  <c r="L33" i="19" s="1"/>
  <c r="J33" i="19"/>
  <c r="I33" i="19" a="1"/>
  <c r="I33" i="19"/>
  <c r="H33" i="19" a="1"/>
  <c r="H33" i="19"/>
  <c r="G33" i="19" a="1"/>
  <c r="G33" i="19"/>
  <c r="P33" i="19" s="1" a="1"/>
  <c r="P33" i="19" s="1"/>
  <c r="O32" i="19" a="1"/>
  <c r="O32" i="19" s="1"/>
  <c r="M32" i="19" a="1"/>
  <c r="M32" i="19"/>
  <c r="J32" i="19"/>
  <c r="I32" i="19" a="1"/>
  <c r="I32" i="19" s="1"/>
  <c r="H32" i="19" a="1"/>
  <c r="H32" i="19" s="1"/>
  <c r="G32" i="19" a="1"/>
  <c r="G32" i="19" s="1"/>
  <c r="P31" i="19" a="1"/>
  <c r="P31" i="19"/>
  <c r="N31" i="19" a="1"/>
  <c r="N31" i="19"/>
  <c r="M31" i="19" a="1"/>
  <c r="M31" i="19" s="1"/>
  <c r="J31" i="19"/>
  <c r="I31" i="19" a="1"/>
  <c r="I31" i="19"/>
  <c r="H31" i="19" a="1"/>
  <c r="H31" i="19"/>
  <c r="G31" i="19" a="1"/>
  <c r="G31" i="19"/>
  <c r="O31" i="19" s="1" a="1"/>
  <c r="O31" i="19" s="1"/>
  <c r="I29" i="19"/>
  <c r="P27" i="19" a="1"/>
  <c r="P27" i="19" s="1"/>
  <c r="O27" i="19" a="1"/>
  <c r="O27" i="19" s="1"/>
  <c r="N27" i="19" a="1"/>
  <c r="N27" i="19" s="1"/>
  <c r="M27" i="19" a="1"/>
  <c r="M27" i="19"/>
  <c r="L27" i="19" a="1"/>
  <c r="L27" i="19" s="1"/>
  <c r="J27" i="19"/>
  <c r="I27" i="19" a="1"/>
  <c r="I27" i="19"/>
  <c r="H27" i="19" a="1"/>
  <c r="H27" i="19"/>
  <c r="G27" i="19" a="1"/>
  <c r="G27" i="19"/>
  <c r="P26" i="19" a="1"/>
  <c r="P26" i="19"/>
  <c r="O26" i="19" a="1"/>
  <c r="O26" i="19"/>
  <c r="N26" i="19" a="1"/>
  <c r="N26" i="19"/>
  <c r="M26" i="19" a="1"/>
  <c r="M26" i="19"/>
  <c r="L26" i="19" a="1"/>
  <c r="L26" i="19"/>
  <c r="J26" i="19"/>
  <c r="I26" i="19" a="1"/>
  <c r="I26" i="19" s="1"/>
  <c r="H26" i="19" a="1"/>
  <c r="H26" i="19"/>
  <c r="G26" i="19" a="1"/>
  <c r="G26" i="19" s="1"/>
  <c r="P25" i="19" a="1"/>
  <c r="P25" i="19" s="1"/>
  <c r="O25" i="19" a="1"/>
  <c r="O25" i="19" s="1"/>
  <c r="N25" i="19" a="1"/>
  <c r="N25" i="19"/>
  <c r="M25" i="19" a="1"/>
  <c r="M25" i="19" s="1"/>
  <c r="L25" i="19" a="1"/>
  <c r="L25" i="19"/>
  <c r="J25" i="19"/>
  <c r="I25" i="19" a="1"/>
  <c r="I25" i="19"/>
  <c r="H25" i="19" a="1"/>
  <c r="H25" i="19"/>
  <c r="G25" i="19" a="1"/>
  <c r="G25" i="19"/>
  <c r="P24" i="19" a="1"/>
  <c r="P24" i="19"/>
  <c r="O24" i="19" a="1"/>
  <c r="O24" i="19"/>
  <c r="N24" i="19" a="1"/>
  <c r="N24" i="19"/>
  <c r="M24" i="19" a="1"/>
  <c r="M24" i="19"/>
  <c r="L24" i="19" a="1"/>
  <c r="L24" i="19"/>
  <c r="J24" i="19"/>
  <c r="I24" i="19" a="1"/>
  <c r="I24" i="19"/>
  <c r="H24" i="19" a="1"/>
  <c r="H24" i="19" s="1"/>
  <c r="G24" i="19" a="1"/>
  <c r="G24" i="19"/>
  <c r="P23" i="19" a="1"/>
  <c r="P23" i="19" s="1"/>
  <c r="O23" i="19" a="1"/>
  <c r="O23" i="19" s="1"/>
  <c r="N23" i="19" a="1"/>
  <c r="N23" i="19" s="1"/>
  <c r="M23" i="19" a="1"/>
  <c r="M23" i="19"/>
  <c r="L23" i="19" a="1"/>
  <c r="L23" i="19" s="1"/>
  <c r="J23" i="19"/>
  <c r="I23" i="19" a="1"/>
  <c r="I23" i="19"/>
  <c r="H23" i="19" a="1"/>
  <c r="H23" i="19"/>
  <c r="G23" i="19" a="1"/>
  <c r="G23" i="19"/>
  <c r="P22" i="19" a="1"/>
  <c r="P22" i="19"/>
  <c r="O22" i="19" a="1"/>
  <c r="O22" i="19"/>
  <c r="N22" i="19" a="1"/>
  <c r="N22" i="19"/>
  <c r="M22" i="19" a="1"/>
  <c r="M22" i="19"/>
  <c r="L22" i="19" a="1"/>
  <c r="L22" i="19"/>
  <c r="J22" i="19"/>
  <c r="I22" i="19" a="1"/>
  <c r="I22" i="19" s="1"/>
  <c r="H22" i="19" a="1"/>
  <c r="H22" i="19"/>
  <c r="G22" i="19" a="1"/>
  <c r="G22" i="19" s="1"/>
  <c r="P21" i="19" a="1"/>
  <c r="P21" i="19" s="1"/>
  <c r="O21" i="19" a="1"/>
  <c r="O21" i="19" s="1"/>
  <c r="N21" i="19" a="1"/>
  <c r="N21" i="19"/>
  <c r="M21" i="19" a="1"/>
  <c r="M21" i="19" s="1"/>
  <c r="L21" i="19" a="1"/>
  <c r="L21" i="19"/>
  <c r="J21" i="19"/>
  <c r="I21" i="19" a="1"/>
  <c r="I21" i="19"/>
  <c r="H21" i="19" a="1"/>
  <c r="H21" i="19"/>
  <c r="G21" i="19" a="1"/>
  <c r="G21" i="19"/>
  <c r="P20" i="19" a="1"/>
  <c r="P20" i="19"/>
  <c r="O20" i="19" a="1"/>
  <c r="O20" i="19"/>
  <c r="N20" i="19" a="1"/>
  <c r="N20" i="19"/>
  <c r="M20" i="19" a="1"/>
  <c r="M20" i="19"/>
  <c r="L20" i="19" a="1"/>
  <c r="L20" i="19"/>
  <c r="J20" i="19"/>
  <c r="I20" i="19" a="1"/>
  <c r="I20" i="19"/>
  <c r="H20" i="19" a="1"/>
  <c r="H20" i="19" s="1"/>
  <c r="G20" i="19" a="1"/>
  <c r="G20" i="19"/>
  <c r="P19" i="19" a="1"/>
  <c r="P19" i="19" s="1"/>
  <c r="O19" i="19" a="1"/>
  <c r="O19" i="19" s="1"/>
  <c r="N19" i="19" a="1"/>
  <c r="N19" i="19" s="1"/>
  <c r="M19" i="19" a="1"/>
  <c r="M19" i="19"/>
  <c r="L19" i="19" a="1"/>
  <c r="L19" i="19" s="1"/>
  <c r="J19" i="19"/>
  <c r="I19" i="19" a="1"/>
  <c r="I19" i="19"/>
  <c r="H19" i="19" a="1"/>
  <c r="H19" i="19"/>
  <c r="G19" i="19" a="1"/>
  <c r="G19" i="19"/>
  <c r="P18" i="19" a="1"/>
  <c r="P18" i="19"/>
  <c r="O18" i="19" a="1"/>
  <c r="O18" i="19"/>
  <c r="N18" i="19" a="1"/>
  <c r="N18" i="19"/>
  <c r="M18" i="19" a="1"/>
  <c r="M18" i="19"/>
  <c r="L18" i="19" a="1"/>
  <c r="L18" i="19"/>
  <c r="J18" i="19"/>
  <c r="I18" i="19" a="1"/>
  <c r="I18" i="19" s="1"/>
  <c r="H18" i="19" a="1"/>
  <c r="H18" i="19"/>
  <c r="G18" i="19" a="1"/>
  <c r="G18" i="19" s="1"/>
  <c r="P17" i="19" a="1"/>
  <c r="P17" i="19" s="1"/>
  <c r="O17" i="19" a="1"/>
  <c r="O17" i="19" s="1"/>
  <c r="N17" i="19" a="1"/>
  <c r="N17" i="19"/>
  <c r="M17" i="19" a="1"/>
  <c r="M17" i="19" s="1"/>
  <c r="L17" i="19" a="1"/>
  <c r="L17" i="19"/>
  <c r="J17" i="19"/>
  <c r="I17" i="19" a="1"/>
  <c r="I17" i="19"/>
  <c r="H17" i="19" a="1"/>
  <c r="H17" i="19"/>
  <c r="G17" i="19" a="1"/>
  <c r="G17" i="19"/>
  <c r="P16" i="19" a="1"/>
  <c r="P16" i="19"/>
  <c r="O16" i="19" a="1"/>
  <c r="O16" i="19"/>
  <c r="N16" i="19" a="1"/>
  <c r="N16" i="19"/>
  <c r="M16" i="19" a="1"/>
  <c r="M16" i="19"/>
  <c r="L16" i="19" a="1"/>
  <c r="L16" i="19"/>
  <c r="J16" i="19"/>
  <c r="I16" i="19" a="1"/>
  <c r="I16" i="19"/>
  <c r="H16" i="19" a="1"/>
  <c r="H16" i="19" s="1"/>
  <c r="G16" i="19" a="1"/>
  <c r="G16" i="19"/>
  <c r="P15" i="19" a="1"/>
  <c r="P15" i="19" s="1"/>
  <c r="O15" i="19" a="1"/>
  <c r="O15" i="19" s="1"/>
  <c r="N15" i="19" a="1"/>
  <c r="N15" i="19" s="1"/>
  <c r="M15" i="19" a="1"/>
  <c r="M15" i="19"/>
  <c r="L15" i="19" a="1"/>
  <c r="L15" i="19"/>
  <c r="J15" i="19"/>
  <c r="I15" i="19" a="1"/>
  <c r="I15" i="19" s="1"/>
  <c r="H15" i="19" a="1"/>
  <c r="H15" i="19"/>
  <c r="G15" i="19" a="1"/>
  <c r="G15" i="19" s="1"/>
  <c r="P14" i="19" a="1"/>
  <c r="P14" i="19"/>
  <c r="O14" i="19" a="1"/>
  <c r="O14" i="19" s="1"/>
  <c r="N14" i="19" a="1"/>
  <c r="N14" i="19"/>
  <c r="M14" i="19" a="1"/>
  <c r="M14" i="19" s="1"/>
  <c r="L14" i="19" a="1"/>
  <c r="L14" i="19"/>
  <c r="J14" i="19"/>
  <c r="I14" i="19" a="1"/>
  <c r="I14" i="19"/>
  <c r="H14" i="19" a="1"/>
  <c r="H14" i="19"/>
  <c r="G14" i="19" a="1"/>
  <c r="G14" i="19"/>
  <c r="P13" i="19" a="1"/>
  <c r="P13" i="19"/>
  <c r="O13" i="19" a="1"/>
  <c r="O13" i="19"/>
  <c r="N13" i="19" a="1"/>
  <c r="N13" i="19"/>
  <c r="M13" i="19" a="1"/>
  <c r="M13" i="19"/>
  <c r="L13" i="19" a="1"/>
  <c r="L13" i="19"/>
  <c r="J13" i="19"/>
  <c r="I13" i="19" a="1"/>
  <c r="I13" i="19"/>
  <c r="H13" i="19" a="1"/>
  <c r="H13" i="19" s="1"/>
  <c r="G13" i="19" a="1"/>
  <c r="G13" i="19"/>
  <c r="P12" i="19" a="1"/>
  <c r="P12" i="19" s="1"/>
  <c r="O12" i="19" a="1"/>
  <c r="O12" i="19"/>
  <c r="N12" i="19" a="1"/>
  <c r="N12" i="19" s="1"/>
  <c r="M12" i="19" a="1"/>
  <c r="M12" i="19"/>
  <c r="L12" i="19" a="1"/>
  <c r="L12" i="19" s="1"/>
  <c r="J12" i="19"/>
  <c r="I12" i="19" a="1"/>
  <c r="I12" i="19"/>
  <c r="H12" i="19" a="1"/>
  <c r="H12" i="19"/>
  <c r="G12" i="19" a="1"/>
  <c r="G12" i="19"/>
  <c r="P11" i="19" a="1"/>
  <c r="P11" i="19"/>
  <c r="O11" i="19" a="1"/>
  <c r="O11" i="19"/>
  <c r="N11" i="19" a="1"/>
  <c r="N11" i="19"/>
  <c r="M11" i="19" a="1"/>
  <c r="M11" i="19"/>
  <c r="L11" i="19" a="1"/>
  <c r="L11" i="19"/>
  <c r="J11" i="19"/>
  <c r="I11" i="19" a="1"/>
  <c r="I11" i="19" s="1"/>
  <c r="H11" i="19" a="1"/>
  <c r="H11" i="19"/>
  <c r="G11" i="19" a="1"/>
  <c r="G11" i="19" s="1"/>
  <c r="P10" i="19" a="1"/>
  <c r="P10" i="19"/>
  <c r="O10" i="19" a="1"/>
  <c r="O10" i="19" s="1"/>
  <c r="N10" i="19" a="1"/>
  <c r="N10" i="19"/>
  <c r="M10" i="19" a="1"/>
  <c r="M10" i="19" s="1"/>
  <c r="L10" i="19" a="1"/>
  <c r="L10" i="19"/>
  <c r="J10" i="19"/>
  <c r="I10" i="19" a="1"/>
  <c r="I10" i="19"/>
  <c r="H10" i="19" a="1"/>
  <c r="H10" i="19"/>
  <c r="G10" i="19" a="1"/>
  <c r="G10" i="19"/>
  <c r="P9" i="19" a="1"/>
  <c r="P9" i="19"/>
  <c r="O9" i="19" a="1"/>
  <c r="O9" i="19"/>
  <c r="N9" i="19" a="1"/>
  <c r="N9" i="19"/>
  <c r="M9" i="19" a="1"/>
  <c r="M9" i="19"/>
  <c r="L9" i="19" a="1"/>
  <c r="L9" i="19"/>
  <c r="J9" i="19"/>
  <c r="I9" i="19" a="1"/>
  <c r="I9" i="19"/>
  <c r="H9" i="19" a="1"/>
  <c r="H9" i="19" s="1"/>
  <c r="G9" i="19" a="1"/>
  <c r="G9" i="19"/>
  <c r="P8" i="19" a="1"/>
  <c r="P8" i="19" s="1"/>
  <c r="O8" i="19" a="1"/>
  <c r="O8" i="19"/>
  <c r="N8" i="19" a="1"/>
  <c r="N8" i="19" s="1"/>
  <c r="M8" i="19" a="1"/>
  <c r="M8" i="19"/>
  <c r="L8" i="19" a="1"/>
  <c r="L8" i="19" s="1"/>
  <c r="J8" i="19"/>
  <c r="I8" i="19" a="1"/>
  <c r="I8" i="19"/>
  <c r="H8" i="19" a="1"/>
  <c r="H8" i="19"/>
  <c r="G8" i="19" a="1"/>
  <c r="G8" i="19"/>
  <c r="I6" i="19"/>
  <c r="P66" i="4" a="1"/>
  <c r="P66" i="4"/>
  <c r="O66" i="4" a="1"/>
  <c r="O66" i="4" s="1"/>
  <c r="N66" i="4" a="1"/>
  <c r="N66" i="4"/>
  <c r="M66" i="4" a="1"/>
  <c r="M66" i="4" s="1"/>
  <c r="L66" i="4" a="1"/>
  <c r="L66" i="4"/>
  <c r="J66" i="4"/>
  <c r="I66" i="4" a="1"/>
  <c r="I66" i="4"/>
  <c r="H66" i="4"/>
  <c r="G66" i="4" a="1"/>
  <c r="G66" i="4" s="1"/>
  <c r="P65" i="4" a="1"/>
  <c r="P65" i="4"/>
  <c r="O65" i="4" a="1"/>
  <c r="O65" i="4" s="1"/>
  <c r="N65" i="4" a="1"/>
  <c r="N65" i="4"/>
  <c r="M65" i="4" a="1"/>
  <c r="M65" i="4" s="1"/>
  <c r="L65" i="4" a="1"/>
  <c r="L65" i="4"/>
  <c r="J65" i="4"/>
  <c r="I65" i="4" a="1"/>
  <c r="I65" i="4"/>
  <c r="H65" i="4"/>
  <c r="G65" i="4" a="1"/>
  <c r="G65" i="4" s="1"/>
  <c r="P64" i="4" a="1"/>
  <c r="P64" i="4"/>
  <c r="O64" i="4" a="1"/>
  <c r="O64" i="4" s="1"/>
  <c r="N64" i="4" a="1"/>
  <c r="N64" i="4"/>
  <c r="M64" i="4" a="1"/>
  <c r="M64" i="4" s="1"/>
  <c r="L64" i="4" a="1"/>
  <c r="L64" i="4"/>
  <c r="J64" i="4"/>
  <c r="I64" i="4" a="1"/>
  <c r="I64" i="4"/>
  <c r="H64" i="4"/>
  <c r="G64" i="4" a="1"/>
  <c r="G64" i="4" s="1"/>
  <c r="P63" i="4" a="1"/>
  <c r="P63" i="4"/>
  <c r="O63" i="4" a="1"/>
  <c r="O63" i="4" s="1"/>
  <c r="N63" i="4" a="1"/>
  <c r="N63" i="4"/>
  <c r="M63" i="4" a="1"/>
  <c r="M63" i="4" s="1"/>
  <c r="L63" i="4" a="1"/>
  <c r="L63" i="4"/>
  <c r="J63" i="4"/>
  <c r="I63" i="4" a="1"/>
  <c r="I63" i="4"/>
  <c r="H63" i="4"/>
  <c r="G63" i="4" a="1"/>
  <c r="G63" i="4" s="1"/>
  <c r="P62" i="4" a="1"/>
  <c r="P62" i="4"/>
  <c r="O62" i="4" a="1"/>
  <c r="O62" i="4" s="1"/>
  <c r="N62" i="4" a="1"/>
  <c r="N62" i="4"/>
  <c r="M62" i="4" a="1"/>
  <c r="M62" i="4" s="1"/>
  <c r="L62" i="4" a="1"/>
  <c r="L62" i="4"/>
  <c r="J62" i="4"/>
  <c r="I62" i="4" a="1"/>
  <c r="I62" i="4"/>
  <c r="H62" i="4"/>
  <c r="G62" i="4" a="1"/>
  <c r="G62" i="4" s="1"/>
  <c r="P61" i="4" a="1"/>
  <c r="P61" i="4"/>
  <c r="O61" i="4" a="1"/>
  <c r="O61" i="4" s="1"/>
  <c r="N61" i="4" a="1"/>
  <c r="N61" i="4"/>
  <c r="M61" i="4" a="1"/>
  <c r="M61" i="4" s="1"/>
  <c r="L61" i="4" a="1"/>
  <c r="L61" i="4"/>
  <c r="J61" i="4"/>
  <c r="I61" i="4" a="1"/>
  <c r="I61" i="4"/>
  <c r="H61" i="4"/>
  <c r="G61" i="4" a="1"/>
  <c r="G61" i="4" s="1"/>
  <c r="P60" i="4" a="1"/>
  <c r="P60" i="4"/>
  <c r="O60" i="4" a="1"/>
  <c r="O60" i="4" s="1"/>
  <c r="N60" i="4" a="1"/>
  <c r="N60" i="4"/>
  <c r="M60" i="4" a="1"/>
  <c r="M60" i="4" s="1"/>
  <c r="L60" i="4" a="1"/>
  <c r="L60" i="4"/>
  <c r="J60" i="4"/>
  <c r="I60" i="4" a="1"/>
  <c r="I60" i="4"/>
  <c r="H60" i="4"/>
  <c r="G60" i="4" a="1"/>
  <c r="G60" i="4" s="1"/>
  <c r="P59" i="4" a="1"/>
  <c r="P59" i="4"/>
  <c r="O59" i="4" a="1"/>
  <c r="O59" i="4" s="1"/>
  <c r="N59" i="4" a="1"/>
  <c r="N59" i="4"/>
  <c r="M59" i="4" a="1"/>
  <c r="M59" i="4" s="1"/>
  <c r="L59" i="4" a="1"/>
  <c r="L59" i="4"/>
  <c r="J59" i="4"/>
  <c r="I59" i="4" a="1"/>
  <c r="I59" i="4"/>
  <c r="H59" i="4"/>
  <c r="G59" i="4" a="1"/>
  <c r="G59" i="4" s="1"/>
  <c r="P58" i="4" a="1"/>
  <c r="P58" i="4"/>
  <c r="O58" i="4" a="1"/>
  <c r="O58" i="4" s="1"/>
  <c r="N58" i="4" a="1"/>
  <c r="N58" i="4"/>
  <c r="M58" i="4" a="1"/>
  <c r="M58" i="4" s="1"/>
  <c r="L58" i="4" a="1"/>
  <c r="L58" i="4"/>
  <c r="J58" i="4"/>
  <c r="I58" i="4" a="1"/>
  <c r="I58" i="4"/>
  <c r="H58" i="4"/>
  <c r="G58" i="4" a="1"/>
  <c r="G58" i="4" s="1"/>
  <c r="P57" i="4" a="1"/>
  <c r="P57" i="4"/>
  <c r="O57" i="4" a="1"/>
  <c r="O57" i="4" s="1"/>
  <c r="N57" i="4" a="1"/>
  <c r="N57" i="4"/>
  <c r="M57" i="4" a="1"/>
  <c r="M57" i="4" s="1"/>
  <c r="L57" i="4" a="1"/>
  <c r="L57" i="4"/>
  <c r="J57" i="4"/>
  <c r="I57" i="4" a="1"/>
  <c r="I57" i="4"/>
  <c r="H57" i="4"/>
  <c r="G57" i="4" a="1"/>
  <c r="G57" i="4" s="1"/>
  <c r="P56" i="4" a="1"/>
  <c r="P56" i="4"/>
  <c r="O56" i="4" a="1"/>
  <c r="O56" i="4" s="1"/>
  <c r="N56" i="4" a="1"/>
  <c r="N56" i="4"/>
  <c r="M56" i="4" a="1"/>
  <c r="M56" i="4" s="1"/>
  <c r="L56" i="4" a="1"/>
  <c r="L56" i="4"/>
  <c r="J56" i="4"/>
  <c r="I56" i="4" a="1"/>
  <c r="I56" i="4"/>
  <c r="H56" i="4"/>
  <c r="G56" i="4" a="1"/>
  <c r="G56" i="4" s="1"/>
  <c r="I54" i="4"/>
  <c r="P52" i="4" a="1"/>
  <c r="P52" i="4"/>
  <c r="O52" i="4" a="1"/>
  <c r="O52" i="4"/>
  <c r="N52" i="4" a="1"/>
  <c r="N52" i="4"/>
  <c r="M52" i="4" a="1"/>
  <c r="M52" i="4"/>
  <c r="L52" i="4" a="1"/>
  <c r="L52" i="4"/>
  <c r="J52" i="4"/>
  <c r="I52" i="4" a="1"/>
  <c r="I52" i="4"/>
  <c r="H52" i="4"/>
  <c r="G52" i="4" a="1"/>
  <c r="G52" i="4"/>
  <c r="P51" i="4" a="1"/>
  <c r="P51" i="4"/>
  <c r="O51" i="4" a="1"/>
  <c r="O51" i="4"/>
  <c r="N51" i="4" a="1"/>
  <c r="N51" i="4"/>
  <c r="M51" i="4" a="1"/>
  <c r="M51" i="4"/>
  <c r="L51" i="4" a="1"/>
  <c r="L51" i="4"/>
  <c r="J51" i="4"/>
  <c r="I51" i="4" a="1"/>
  <c r="I51" i="4"/>
  <c r="H51" i="4"/>
  <c r="G51" i="4" a="1"/>
  <c r="G51" i="4"/>
  <c r="P50" i="4" a="1"/>
  <c r="P50" i="4"/>
  <c r="O50" i="4" a="1"/>
  <c r="O50" i="4"/>
  <c r="N50" i="4" a="1"/>
  <c r="N50" i="4"/>
  <c r="M50" i="4" a="1"/>
  <c r="M50" i="4"/>
  <c r="L50" i="4" a="1"/>
  <c r="L50" i="4"/>
  <c r="J50" i="4"/>
  <c r="I50" i="4" a="1"/>
  <c r="I50" i="4"/>
  <c r="H50" i="4"/>
  <c r="G50" i="4" a="1"/>
  <c r="G50" i="4"/>
  <c r="P49" i="4" a="1"/>
  <c r="P49" i="4"/>
  <c r="O49" i="4" a="1"/>
  <c r="O49" i="4"/>
  <c r="N49" i="4" a="1"/>
  <c r="N49" i="4"/>
  <c r="M49" i="4" a="1"/>
  <c r="M49" i="4"/>
  <c r="L49" i="4" a="1"/>
  <c r="L49" i="4"/>
  <c r="J49" i="4"/>
  <c r="I49" i="4" a="1"/>
  <c r="I49" i="4"/>
  <c r="H49" i="4"/>
  <c r="G49" i="4" a="1"/>
  <c r="G49" i="4"/>
  <c r="P48" i="4" a="1"/>
  <c r="P48" i="4"/>
  <c r="O48" i="4" a="1"/>
  <c r="O48" i="4"/>
  <c r="N48" i="4" a="1"/>
  <c r="N48" i="4"/>
  <c r="M48" i="4" a="1"/>
  <c r="M48" i="4"/>
  <c r="L48" i="4" a="1"/>
  <c r="L48" i="4"/>
  <c r="J48" i="4"/>
  <c r="I48" i="4" a="1"/>
  <c r="I48" i="4"/>
  <c r="G48" i="4" a="1"/>
  <c r="G48" i="4" s="1"/>
  <c r="P47" i="4" a="1"/>
  <c r="P47" i="4"/>
  <c r="O47" i="4" a="1"/>
  <c r="O47" i="4" s="1"/>
  <c r="N47" i="4" a="1"/>
  <c r="N47" i="4"/>
  <c r="M47" i="4" a="1"/>
  <c r="M47" i="4" s="1"/>
  <c r="L47" i="4" a="1"/>
  <c r="L47" i="4"/>
  <c r="J47" i="4"/>
  <c r="I47" i="4" a="1"/>
  <c r="I47" i="4"/>
  <c r="H47" i="4"/>
  <c r="G47" i="4" a="1"/>
  <c r="G47" i="4" s="1"/>
  <c r="P46" i="4" a="1"/>
  <c r="P46" i="4"/>
  <c r="O46" i="4" a="1"/>
  <c r="O46" i="4" s="1"/>
  <c r="N46" i="4" a="1"/>
  <c r="N46" i="4"/>
  <c r="M46" i="4" a="1"/>
  <c r="M46" i="4" s="1"/>
  <c r="L46" i="4" a="1"/>
  <c r="L46" i="4"/>
  <c r="J46" i="4"/>
  <c r="I46" i="4" a="1"/>
  <c r="I46" i="4"/>
  <c r="H46" i="4"/>
  <c r="G46" i="4" a="1"/>
  <c r="G46" i="4" s="1"/>
  <c r="P45" i="4" a="1"/>
  <c r="P45" i="4"/>
  <c r="O45" i="4" a="1"/>
  <c r="O45" i="4" s="1"/>
  <c r="N45" i="4" a="1"/>
  <c r="N45" i="4"/>
  <c r="M45" i="4" a="1"/>
  <c r="M45" i="4" s="1"/>
  <c r="L45" i="4" a="1"/>
  <c r="L45" i="4"/>
  <c r="J45" i="4"/>
  <c r="I45" i="4" a="1"/>
  <c r="I45" i="4"/>
  <c r="H45" i="4"/>
  <c r="G45" i="4" a="1"/>
  <c r="G45" i="4" s="1"/>
  <c r="P44" i="4" a="1"/>
  <c r="P44" i="4"/>
  <c r="O44" i="4" a="1"/>
  <c r="O44" i="4" s="1"/>
  <c r="N44" i="4" a="1"/>
  <c r="N44" i="4"/>
  <c r="M44" i="4" a="1"/>
  <c r="M44" i="4" s="1"/>
  <c r="L44" i="4" a="1"/>
  <c r="L44" i="4"/>
  <c r="J44" i="4"/>
  <c r="I44" i="4" a="1"/>
  <c r="I44" i="4"/>
  <c r="H44" i="4"/>
  <c r="G44" i="4" a="1"/>
  <c r="G44" i="4" s="1"/>
  <c r="P43" i="4" a="1"/>
  <c r="P43" i="4"/>
  <c r="O43" i="4" a="1"/>
  <c r="O43" i="4" s="1"/>
  <c r="N43" i="4" a="1"/>
  <c r="N43" i="4"/>
  <c r="M43" i="4" a="1"/>
  <c r="M43" i="4" s="1"/>
  <c r="L43" i="4" a="1"/>
  <c r="L43" i="4"/>
  <c r="J43" i="4"/>
  <c r="I43" i="4" a="1"/>
  <c r="I43" i="4"/>
  <c r="H43" i="4"/>
  <c r="G43" i="4" a="1"/>
  <c r="G43" i="4" s="1"/>
  <c r="P42" i="4" a="1"/>
  <c r="P42" i="4"/>
  <c r="O42" i="4" a="1"/>
  <c r="O42" i="4" s="1"/>
  <c r="N42" i="4" a="1"/>
  <c r="N42" i="4"/>
  <c r="M42" i="4" a="1"/>
  <c r="M42" i="4" s="1"/>
  <c r="L42" i="4" a="1"/>
  <c r="L42" i="4"/>
  <c r="J42" i="4"/>
  <c r="I42" i="4" a="1"/>
  <c r="I42" i="4"/>
  <c r="H42" i="4"/>
  <c r="G42" i="4" a="1"/>
  <c r="G42" i="4" s="1"/>
  <c r="I40" i="4"/>
  <c r="P37" i="4" a="1"/>
  <c r="P37" i="4"/>
  <c r="O37" i="4" a="1"/>
  <c r="O37" i="4"/>
  <c r="N37" i="4" a="1"/>
  <c r="N37" i="4"/>
  <c r="M37" i="4" a="1"/>
  <c r="M37" i="4"/>
  <c r="L37" i="4" a="1"/>
  <c r="L37" i="4"/>
  <c r="J37" i="4"/>
  <c r="I37" i="4" a="1"/>
  <c r="I37" i="4"/>
  <c r="H37" i="4"/>
  <c r="G37" i="4" a="1"/>
  <c r="G37" i="4"/>
  <c r="P36" i="4" a="1"/>
  <c r="P36" i="4"/>
  <c r="O36" i="4" a="1"/>
  <c r="O36" i="4"/>
  <c r="N36" i="4" a="1"/>
  <c r="N36" i="4"/>
  <c r="M36" i="4" a="1"/>
  <c r="M36" i="4"/>
  <c r="L36" i="4" a="1"/>
  <c r="L36" i="4"/>
  <c r="J36" i="4"/>
  <c r="I36" i="4" a="1"/>
  <c r="I36" i="4"/>
  <c r="H36" i="4"/>
  <c r="G36" i="4" a="1"/>
  <c r="G36" i="4"/>
  <c r="P35" i="4" a="1"/>
  <c r="P35" i="4"/>
  <c r="O35" i="4" a="1"/>
  <c r="O35" i="4"/>
  <c r="N35" i="4" a="1"/>
  <c r="N35" i="4"/>
  <c r="M35" i="4" a="1"/>
  <c r="M35" i="4"/>
  <c r="L35" i="4" a="1"/>
  <c r="L35" i="4"/>
  <c r="J35" i="4"/>
  <c r="I35" i="4" a="1"/>
  <c r="I35" i="4"/>
  <c r="H35" i="4"/>
  <c r="G35" i="4" a="1"/>
  <c r="G35" i="4"/>
  <c r="P34" i="4" a="1"/>
  <c r="P34" i="4"/>
  <c r="O34" i="4" a="1"/>
  <c r="O34" i="4"/>
  <c r="N34" i="4" a="1"/>
  <c r="N34" i="4"/>
  <c r="M34" i="4" a="1"/>
  <c r="M34" i="4"/>
  <c r="L34" i="4" a="1"/>
  <c r="L34" i="4"/>
  <c r="J34" i="4"/>
  <c r="I34" i="4" a="1"/>
  <c r="I34" i="4"/>
  <c r="H34" i="4"/>
  <c r="G34" i="4" a="1"/>
  <c r="G34" i="4"/>
  <c r="P33" i="4" a="1"/>
  <c r="P33" i="4"/>
  <c r="O33" i="4" a="1"/>
  <c r="O33" i="4"/>
  <c r="N33" i="4" a="1"/>
  <c r="N33" i="4"/>
  <c r="M33" i="4" a="1"/>
  <c r="M33" i="4"/>
  <c r="L33" i="4" a="1"/>
  <c r="L33" i="4"/>
  <c r="J33" i="4"/>
  <c r="I33" i="4" a="1"/>
  <c r="I33" i="4"/>
  <c r="H33" i="4"/>
  <c r="G33" i="4" a="1"/>
  <c r="G33" i="4"/>
  <c r="P32" i="4" a="1"/>
  <c r="P32" i="4"/>
  <c r="O32" i="4" a="1"/>
  <c r="O32" i="4"/>
  <c r="N32" i="4" a="1"/>
  <c r="N32" i="4"/>
  <c r="M32" i="4" a="1"/>
  <c r="M32" i="4"/>
  <c r="L32" i="4" a="1"/>
  <c r="L32" i="4"/>
  <c r="J32" i="4"/>
  <c r="I32" i="4" a="1"/>
  <c r="I32" i="4"/>
  <c r="H32" i="4"/>
  <c r="G32" i="4" a="1"/>
  <c r="G32" i="4"/>
  <c r="P31" i="4" a="1"/>
  <c r="P31" i="4"/>
  <c r="O31" i="4" a="1"/>
  <c r="O31" i="4"/>
  <c r="N31" i="4" a="1"/>
  <c r="N31" i="4"/>
  <c r="M31" i="4" a="1"/>
  <c r="M31" i="4"/>
  <c r="L31" i="4" a="1"/>
  <c r="L31" i="4"/>
  <c r="J31" i="4"/>
  <c r="I31" i="4" a="1"/>
  <c r="I31" i="4"/>
  <c r="H31" i="4"/>
  <c r="G31" i="4" a="1"/>
  <c r="G31" i="4"/>
  <c r="P30" i="4" a="1"/>
  <c r="P30" i="4"/>
  <c r="O30" i="4" a="1"/>
  <c r="O30" i="4"/>
  <c r="N30" i="4" a="1"/>
  <c r="N30" i="4"/>
  <c r="M30" i="4" a="1"/>
  <c r="M30" i="4"/>
  <c r="L30" i="4" a="1"/>
  <c r="L30" i="4"/>
  <c r="J30" i="4"/>
  <c r="I30" i="4" a="1"/>
  <c r="I30" i="4"/>
  <c r="H30" i="4"/>
  <c r="G30" i="4" a="1"/>
  <c r="G30" i="4"/>
  <c r="P29" i="4" a="1"/>
  <c r="P29" i="4"/>
  <c r="O29" i="4" a="1"/>
  <c r="O29" i="4"/>
  <c r="N29" i="4" a="1"/>
  <c r="N29" i="4"/>
  <c r="M29" i="4" a="1"/>
  <c r="M29" i="4"/>
  <c r="L29" i="4" a="1"/>
  <c r="L29" i="4"/>
  <c r="J29" i="4"/>
  <c r="I29" i="4" a="1"/>
  <c r="I29" i="4"/>
  <c r="H29" i="4"/>
  <c r="G29" i="4" a="1"/>
  <c r="G29" i="4"/>
  <c r="P28" i="4" a="1"/>
  <c r="P28" i="4"/>
  <c r="O28" i="4" a="1"/>
  <c r="O28" i="4"/>
  <c r="N28" i="4" a="1"/>
  <c r="N28" i="4"/>
  <c r="M28" i="4" a="1"/>
  <c r="M28" i="4"/>
  <c r="L28" i="4" a="1"/>
  <c r="L28" i="4"/>
  <c r="J28" i="4"/>
  <c r="I28" i="4" a="1"/>
  <c r="I28" i="4"/>
  <c r="H28" i="4"/>
  <c r="G28" i="4" a="1"/>
  <c r="G28" i="4"/>
  <c r="P27" i="4" a="1"/>
  <c r="P27" i="4"/>
  <c r="O27" i="4" a="1"/>
  <c r="O27" i="4"/>
  <c r="N27" i="4" a="1"/>
  <c r="N27" i="4"/>
  <c r="M27" i="4" a="1"/>
  <c r="M27" i="4"/>
  <c r="L27" i="4" a="1"/>
  <c r="L27" i="4"/>
  <c r="J27" i="4"/>
  <c r="I27" i="4" a="1"/>
  <c r="I27" i="4"/>
  <c r="H27" i="4"/>
  <c r="G27" i="4" a="1"/>
  <c r="G27" i="4"/>
  <c r="P26" i="4" a="1"/>
  <c r="P26" i="4"/>
  <c r="O26" i="4" a="1"/>
  <c r="O26" i="4"/>
  <c r="N26" i="4" a="1"/>
  <c r="N26" i="4"/>
  <c r="M26" i="4" a="1"/>
  <c r="M26" i="4"/>
  <c r="L26" i="4" a="1"/>
  <c r="L26" i="4"/>
  <c r="J26" i="4"/>
  <c r="I26" i="4" a="1"/>
  <c r="I26" i="4"/>
  <c r="H26" i="4"/>
  <c r="G26" i="4" a="1"/>
  <c r="G26" i="4"/>
  <c r="P25" i="4" a="1"/>
  <c r="P25" i="4"/>
  <c r="O25" i="4" a="1"/>
  <c r="O25" i="4"/>
  <c r="N25" i="4" a="1"/>
  <c r="N25" i="4"/>
  <c r="M25" i="4" a="1"/>
  <c r="M25" i="4"/>
  <c r="L25" i="4" a="1"/>
  <c r="L25" i="4"/>
  <c r="J25" i="4"/>
  <c r="I25" i="4" a="1"/>
  <c r="I25" i="4"/>
  <c r="H25" i="4"/>
  <c r="G25" i="4" a="1"/>
  <c r="G25" i="4"/>
  <c r="P24" i="4" a="1"/>
  <c r="P24" i="4"/>
  <c r="O24" i="4" a="1"/>
  <c r="O24" i="4"/>
  <c r="N24" i="4" a="1"/>
  <c r="N24" i="4"/>
  <c r="M24" i="4" a="1"/>
  <c r="M24" i="4"/>
  <c r="L24" i="4" a="1"/>
  <c r="L24" i="4"/>
  <c r="J24" i="4"/>
  <c r="I24" i="4" a="1"/>
  <c r="I24" i="4"/>
  <c r="H24" i="4"/>
  <c r="G24" i="4" a="1"/>
  <c r="G24" i="4"/>
  <c r="P23" i="4" a="1"/>
  <c r="P23" i="4"/>
  <c r="O23" i="4" a="1"/>
  <c r="O23" i="4"/>
  <c r="N23" i="4" a="1"/>
  <c r="N23" i="4"/>
  <c r="M23" i="4" a="1"/>
  <c r="M23" i="4"/>
  <c r="L23" i="4" a="1"/>
  <c r="L23" i="4"/>
  <c r="J23" i="4"/>
  <c r="I23" i="4" a="1"/>
  <c r="I23" i="4"/>
  <c r="H23" i="4"/>
  <c r="G23" i="4" a="1"/>
  <c r="G23" i="4"/>
  <c r="P22" i="4" a="1"/>
  <c r="P22" i="4"/>
  <c r="O22" i="4" a="1"/>
  <c r="O22" i="4"/>
  <c r="N22" i="4" a="1"/>
  <c r="N22" i="4"/>
  <c r="M22" i="4" a="1"/>
  <c r="M22" i="4"/>
  <c r="L22" i="4" a="1"/>
  <c r="L22" i="4"/>
  <c r="J22" i="4"/>
  <c r="I22" i="4" a="1"/>
  <c r="I22" i="4"/>
  <c r="H22" i="4"/>
  <c r="G22" i="4" a="1"/>
  <c r="G22" i="4"/>
  <c r="P21" i="4" a="1"/>
  <c r="P21" i="4"/>
  <c r="O21" i="4" a="1"/>
  <c r="O21" i="4"/>
  <c r="N21" i="4" a="1"/>
  <c r="N21" i="4"/>
  <c r="M21" i="4" a="1"/>
  <c r="M21" i="4"/>
  <c r="L21" i="4" a="1"/>
  <c r="L21" i="4"/>
  <c r="J21" i="4"/>
  <c r="I21" i="4" a="1"/>
  <c r="I21" i="4"/>
  <c r="H21" i="4"/>
  <c r="G21" i="4" a="1"/>
  <c r="G21" i="4"/>
  <c r="P20" i="4" a="1"/>
  <c r="P20" i="4"/>
  <c r="O20" i="4" a="1"/>
  <c r="O20" i="4"/>
  <c r="N20" i="4" a="1"/>
  <c r="N20" i="4"/>
  <c r="M20" i="4" a="1"/>
  <c r="M20" i="4"/>
  <c r="L20" i="4" a="1"/>
  <c r="L20" i="4"/>
  <c r="J20" i="4"/>
  <c r="I20" i="4" a="1"/>
  <c r="I20" i="4"/>
  <c r="H20" i="4"/>
  <c r="G20" i="4" a="1"/>
  <c r="G20" i="4"/>
  <c r="P19" i="4" a="1"/>
  <c r="P19" i="4"/>
  <c r="O19" i="4" a="1"/>
  <c r="O19" i="4"/>
  <c r="N19" i="4" a="1"/>
  <c r="N19" i="4"/>
  <c r="M19" i="4" a="1"/>
  <c r="M19" i="4"/>
  <c r="L19" i="4" a="1"/>
  <c r="L19" i="4"/>
  <c r="J19" i="4"/>
  <c r="I19" i="4" a="1"/>
  <c r="I19" i="4"/>
  <c r="H19" i="4"/>
  <c r="G19" i="4" a="1"/>
  <c r="G19" i="4"/>
  <c r="P18" i="4" a="1"/>
  <c r="P18" i="4"/>
  <c r="O18" i="4" a="1"/>
  <c r="O18" i="4"/>
  <c r="N18" i="4" a="1"/>
  <c r="N18" i="4"/>
  <c r="M18" i="4" a="1"/>
  <c r="M18" i="4"/>
  <c r="L18" i="4" a="1"/>
  <c r="L18" i="4"/>
  <c r="J18" i="4"/>
  <c r="I18" i="4" a="1"/>
  <c r="I18" i="4"/>
  <c r="H18" i="4"/>
  <c r="G18" i="4" a="1"/>
  <c r="G18" i="4"/>
  <c r="P17" i="4" a="1"/>
  <c r="P17" i="4"/>
  <c r="O17" i="4" a="1"/>
  <c r="O17" i="4"/>
  <c r="N17" i="4" a="1"/>
  <c r="N17" i="4"/>
  <c r="M17" i="4" a="1"/>
  <c r="M17" i="4"/>
  <c r="L17" i="4" a="1"/>
  <c r="L17" i="4"/>
  <c r="J17" i="4"/>
  <c r="I17" i="4" a="1"/>
  <c r="I17" i="4"/>
  <c r="H17" i="4"/>
  <c r="G17" i="4" a="1"/>
  <c r="G17" i="4"/>
  <c r="P16" i="4" a="1"/>
  <c r="P16" i="4"/>
  <c r="O16" i="4" a="1"/>
  <c r="O16" i="4"/>
  <c r="N16" i="4" a="1"/>
  <c r="N16" i="4"/>
  <c r="M16" i="4" a="1"/>
  <c r="M16" i="4"/>
  <c r="L16" i="4" a="1"/>
  <c r="L16" i="4"/>
  <c r="J16" i="4"/>
  <c r="I16" i="4" a="1"/>
  <c r="I16" i="4"/>
  <c r="H16" i="4"/>
  <c r="G16" i="4" a="1"/>
  <c r="G16" i="4"/>
  <c r="P15" i="4" a="1"/>
  <c r="P15" i="4"/>
  <c r="O15" i="4" a="1"/>
  <c r="O15" i="4"/>
  <c r="N15" i="4" a="1"/>
  <c r="N15" i="4"/>
  <c r="M15" i="4" a="1"/>
  <c r="M15" i="4"/>
  <c r="L15" i="4" a="1"/>
  <c r="L15" i="4"/>
  <c r="J15" i="4"/>
  <c r="I15" i="4" a="1"/>
  <c r="I15" i="4"/>
  <c r="H15" i="4"/>
  <c r="G15" i="4" a="1"/>
  <c r="G15" i="4"/>
  <c r="P14" i="4" a="1"/>
  <c r="P14" i="4"/>
  <c r="O14" i="4" a="1"/>
  <c r="O14" i="4"/>
  <c r="N14" i="4" a="1"/>
  <c r="N14" i="4"/>
  <c r="M14" i="4" a="1"/>
  <c r="M14" i="4"/>
  <c r="L14" i="4" a="1"/>
  <c r="L14" i="4"/>
  <c r="J14" i="4"/>
  <c r="I14" i="4" a="1"/>
  <c r="I14" i="4"/>
  <c r="H14" i="4"/>
  <c r="G14" i="4" a="1"/>
  <c r="G14" i="4"/>
  <c r="P13" i="4" a="1"/>
  <c r="P13" i="4"/>
  <c r="O13" i="4" a="1"/>
  <c r="O13" i="4"/>
  <c r="N13" i="4" a="1"/>
  <c r="N13" i="4"/>
  <c r="M13" i="4" a="1"/>
  <c r="M13" i="4"/>
  <c r="L13" i="4" a="1"/>
  <c r="L13" i="4"/>
  <c r="J13" i="4"/>
  <c r="I13" i="4" a="1"/>
  <c r="I13" i="4"/>
  <c r="H13" i="4"/>
  <c r="G13" i="4" a="1"/>
  <c r="G13" i="4"/>
  <c r="P12" i="4" a="1"/>
  <c r="P12" i="4"/>
  <c r="O12" i="4" a="1"/>
  <c r="O12" i="4"/>
  <c r="N12" i="4" a="1"/>
  <c r="N12" i="4"/>
  <c r="M12" i="4" a="1"/>
  <c r="M12" i="4"/>
  <c r="L12" i="4" a="1"/>
  <c r="L12" i="4"/>
  <c r="J12" i="4"/>
  <c r="I12" i="4" a="1"/>
  <c r="I12" i="4"/>
  <c r="H12" i="4"/>
  <c r="G12" i="4" a="1"/>
  <c r="G12" i="4"/>
  <c r="P11" i="4" a="1"/>
  <c r="P11" i="4"/>
  <c r="O11" i="4" a="1"/>
  <c r="O11" i="4"/>
  <c r="N11" i="4" a="1"/>
  <c r="N11" i="4"/>
  <c r="M11" i="4" a="1"/>
  <c r="M11" i="4"/>
  <c r="L11" i="4" a="1"/>
  <c r="L11" i="4"/>
  <c r="J11" i="4"/>
  <c r="I11" i="4" a="1"/>
  <c r="I11" i="4"/>
  <c r="H11" i="4"/>
  <c r="G11" i="4" a="1"/>
  <c r="G11" i="4"/>
  <c r="P10" i="4" a="1"/>
  <c r="P10" i="4"/>
  <c r="O10" i="4" a="1"/>
  <c r="O10" i="4"/>
  <c r="N10" i="4" a="1"/>
  <c r="N10" i="4"/>
  <c r="M10" i="4" a="1"/>
  <c r="M10" i="4"/>
  <c r="L10" i="4" a="1"/>
  <c r="L10" i="4"/>
  <c r="J10" i="4"/>
  <c r="I10" i="4" a="1"/>
  <c r="I10" i="4"/>
  <c r="H10" i="4"/>
  <c r="G10" i="4" a="1"/>
  <c r="G10" i="4"/>
  <c r="P9" i="4" a="1"/>
  <c r="P9" i="4"/>
  <c r="O9" i="4" a="1"/>
  <c r="O9" i="4"/>
  <c r="N9" i="4" a="1"/>
  <c r="N9" i="4"/>
  <c r="M9" i="4" a="1"/>
  <c r="M9" i="4" s="1"/>
  <c r="L9" i="4" a="1"/>
  <c r="L9" i="4"/>
  <c r="J9" i="4"/>
  <c r="I9" i="4" a="1"/>
  <c r="I9" i="4"/>
  <c r="H9" i="4"/>
  <c r="G9" i="4" a="1"/>
  <c r="G9" i="4" s="1"/>
  <c r="P8" i="4" a="1"/>
  <c r="P8" i="4"/>
  <c r="O8" i="4" a="1"/>
  <c r="O8" i="4" s="1"/>
  <c r="N8" i="4" a="1"/>
  <c r="N8" i="4"/>
  <c r="M8" i="4" a="1"/>
  <c r="M8" i="4" s="1"/>
  <c r="L8" i="4" a="1"/>
  <c r="L8" i="4"/>
  <c r="J8" i="4"/>
  <c r="I8" i="4" a="1"/>
  <c r="I8" i="4"/>
  <c r="H8" i="4"/>
  <c r="G8" i="4" a="1"/>
  <c r="G8" i="4" s="1"/>
  <c r="I6" i="4"/>
  <c r="D69" i="18"/>
  <c r="C69" i="18"/>
  <c r="B69" i="18"/>
  <c r="C68" i="18"/>
  <c r="C67" i="18"/>
  <c r="D66" i="18"/>
  <c r="C66" i="18"/>
  <c r="D65" i="18"/>
  <c r="C65" i="18"/>
  <c r="D64" i="18"/>
  <c r="C64" i="18"/>
  <c r="F56" i="18"/>
  <c r="E56" i="18"/>
  <c r="B56" i="18"/>
  <c r="F55" i="18"/>
  <c r="E55" i="18"/>
  <c r="F54" i="18"/>
  <c r="E54" i="18"/>
  <c r="F53" i="18"/>
  <c r="E53" i="18"/>
  <c r="F52" i="18"/>
  <c r="E52" i="18"/>
  <c r="F51" i="18"/>
  <c r="E51" i="18"/>
  <c r="F50" i="18"/>
  <c r="E50" i="18"/>
  <c r="F49" i="18"/>
  <c r="E49" i="18"/>
  <c r="F48" i="18"/>
  <c r="E48" i="18"/>
  <c r="F47" i="18"/>
  <c r="E47" i="18"/>
  <c r="F46" i="18"/>
  <c r="E46" i="18"/>
  <c r="F45" i="18"/>
  <c r="E45" i="18"/>
  <c r="F44" i="18"/>
  <c r="E44" i="18"/>
  <c r="F43" i="18"/>
  <c r="E43" i="18"/>
  <c r="F42" i="18"/>
  <c r="E42" i="18"/>
  <c r="F41" i="18"/>
  <c r="E41" i="18"/>
  <c r="F40" i="18"/>
  <c r="E40" i="18"/>
  <c r="F39" i="18"/>
  <c r="E39" i="18"/>
  <c r="F38" i="18"/>
  <c r="E38" i="18"/>
  <c r="F37" i="18"/>
  <c r="E37" i="18"/>
  <c r="F36" i="18"/>
  <c r="E36" i="18"/>
  <c r="F30" i="18"/>
  <c r="E30" i="18"/>
  <c r="D30" i="18"/>
  <c r="C30" i="18"/>
  <c r="B30" i="18"/>
  <c r="F29" i="18"/>
  <c r="E29" i="18"/>
  <c r="D29" i="18"/>
  <c r="C29" i="18"/>
  <c r="F24" i="18"/>
  <c r="E24" i="18"/>
  <c r="D24" i="18"/>
  <c r="C24" i="18"/>
  <c r="F23" i="18"/>
  <c r="E23" i="18"/>
  <c r="D23" i="18"/>
  <c r="C23" i="18"/>
  <c r="F22" i="18"/>
  <c r="E22" i="18"/>
  <c r="D22" i="18"/>
  <c r="C22" i="18"/>
  <c r="F17" i="18"/>
  <c r="E17" i="18"/>
  <c r="D17" i="18"/>
  <c r="C17" i="18"/>
  <c r="F16" i="18"/>
  <c r="E16" i="18"/>
  <c r="D16" i="18"/>
  <c r="C16" i="18"/>
  <c r="F15" i="18"/>
  <c r="E15" i="18"/>
  <c r="D15" i="18"/>
  <c r="C15" i="18"/>
  <c r="B15" i="18"/>
  <c r="F9" i="18"/>
  <c r="E9" i="18"/>
  <c r="D9" i="18"/>
  <c r="C9" i="18"/>
  <c r="L41" i="19" l="1" a="1"/>
  <c r="L41" i="19" s="1"/>
  <c r="M41" i="19" a="1"/>
  <c r="M41" i="19" s="1"/>
  <c r="N41" i="19" a="1"/>
  <c r="N41" i="19" s="1"/>
  <c r="P41" i="19" a="1"/>
  <c r="P41" i="19" s="1"/>
  <c r="O41" i="19" a="1"/>
  <c r="O41" i="19" s="1"/>
  <c r="O34" i="19" a="1"/>
  <c r="O34" i="19" s="1"/>
  <c r="M34" i="19" a="1"/>
  <c r="M34" i="19" s="1"/>
  <c r="M8" i="12" a="1"/>
  <c r="M8" i="12" s="1"/>
  <c r="O8" i="12" a="1"/>
  <c r="O8" i="12" s="1"/>
  <c r="O14" i="12" a="1"/>
  <c r="O14" i="12" s="1"/>
  <c r="L14" i="12" a="1"/>
  <c r="L14" i="12" s="1"/>
  <c r="N14" i="12" a="1"/>
  <c r="N14" i="12" s="1"/>
  <c r="N15" i="12" a="1"/>
  <c r="N15" i="12" s="1"/>
  <c r="L15" i="12" a="1"/>
  <c r="L15" i="12" s="1"/>
  <c r="K15" i="12" a="1"/>
  <c r="K15" i="12" s="1"/>
  <c r="M15" i="12" a="1"/>
  <c r="M15" i="12" s="1"/>
  <c r="M18" i="12" a="1"/>
  <c r="M18" i="12" s="1"/>
  <c r="O18" i="12" a="1"/>
  <c r="O18" i="12" s="1"/>
  <c r="L18" i="12" a="1"/>
  <c r="L18" i="12" s="1"/>
  <c r="N33" i="12" a="1"/>
  <c r="N33" i="12" s="1"/>
  <c r="O33" i="12" a="1"/>
  <c r="O33" i="12" s="1"/>
  <c r="M33" i="12" a="1"/>
  <c r="M33" i="12" s="1"/>
  <c r="L33" i="12" a="1"/>
  <c r="L33" i="12" s="1"/>
  <c r="O48" i="12" a="1"/>
  <c r="O48" i="12" s="1"/>
  <c r="M48" i="12" a="1"/>
  <c r="M48" i="12" s="1"/>
  <c r="K48" i="12" a="1"/>
  <c r="K48" i="12" s="1"/>
  <c r="N48" i="12" a="1"/>
  <c r="N48" i="12" s="1"/>
  <c r="L48" i="12" a="1"/>
  <c r="L48" i="12" s="1"/>
  <c r="P34" i="19" a="1"/>
  <c r="P34" i="19" s="1"/>
  <c r="P37" i="19" a="1"/>
  <c r="P37" i="19" s="1"/>
  <c r="P40" i="19" a="1"/>
  <c r="P40" i="19" s="1"/>
  <c r="N40" i="19" a="1"/>
  <c r="N40" i="19" s="1"/>
  <c r="L40" i="19" a="1"/>
  <c r="L40" i="19" s="1"/>
  <c r="M40" i="19" a="1"/>
  <c r="M40" i="19" s="1"/>
  <c r="O46" i="19" a="1"/>
  <c r="O46" i="19" s="1"/>
  <c r="M46" i="19" a="1"/>
  <c r="M46" i="19" s="1"/>
  <c r="N46" i="19" a="1"/>
  <c r="N46" i="19" s="1"/>
  <c r="K14" i="12" a="1"/>
  <c r="K14" i="12" s="1"/>
  <c r="N34" i="12" a="1"/>
  <c r="N34" i="12" s="1"/>
  <c r="L34" i="12" a="1"/>
  <c r="L34" i="12" s="1"/>
  <c r="O34" i="12" a="1"/>
  <c r="O34" i="12" s="1"/>
  <c r="M34" i="12" a="1"/>
  <c r="M34" i="12" s="1"/>
  <c r="K34" i="12" a="1"/>
  <c r="K34" i="12" s="1"/>
  <c r="P32" i="19" a="1"/>
  <c r="P32" i="19" s="1"/>
  <c r="N32" i="19" a="1"/>
  <c r="N32" i="19" s="1"/>
  <c r="L32" i="19" a="1"/>
  <c r="L32" i="19" s="1"/>
  <c r="O33" i="19" a="1"/>
  <c r="O33" i="19" s="1"/>
  <c r="N34" i="19" a="1"/>
  <c r="N34" i="19" s="1"/>
  <c r="L35" i="19" a="1"/>
  <c r="L35" i="19" s="1"/>
  <c r="O35" i="19" a="1"/>
  <c r="O35" i="19" s="1"/>
  <c r="M37" i="19" a="1"/>
  <c r="M37" i="19" s="1"/>
  <c r="O38" i="19" a="1"/>
  <c r="O38" i="19" s="1"/>
  <c r="M38" i="19" a="1"/>
  <c r="M38" i="19" s="1"/>
  <c r="N38" i="19" a="1"/>
  <c r="N38" i="19" s="1"/>
  <c r="N39" i="19" a="1"/>
  <c r="N39" i="19" s="1"/>
  <c r="O40" i="19" a="1"/>
  <c r="O40" i="19" s="1"/>
  <c r="P48" i="19" a="1"/>
  <c r="P48" i="19" s="1"/>
  <c r="N48" i="19" a="1"/>
  <c r="N48" i="19" s="1"/>
  <c r="L48" i="19" a="1"/>
  <c r="L48" i="19" s="1"/>
  <c r="K8" i="12" a="1"/>
  <c r="K8" i="12" s="1"/>
  <c r="M14" i="12" a="1"/>
  <c r="M14" i="12" s="1"/>
  <c r="N18" i="12" a="1"/>
  <c r="N18" i="12" s="1"/>
  <c r="O32" i="12" a="1"/>
  <c r="O32" i="12" s="1"/>
  <c r="M32" i="12" a="1"/>
  <c r="M32" i="12" s="1"/>
  <c r="K32" i="12" a="1"/>
  <c r="K32" i="12" s="1"/>
  <c r="N32" i="12" a="1"/>
  <c r="N32" i="12" s="1"/>
  <c r="L32" i="12" a="1"/>
  <c r="L32" i="12" s="1"/>
  <c r="O39" i="12" a="1"/>
  <c r="O39" i="12" s="1"/>
  <c r="K39" i="12" a="1"/>
  <c r="K39" i="12" s="1"/>
  <c r="N39" i="12" a="1"/>
  <c r="N39" i="12" s="1"/>
  <c r="M39" i="12" a="1"/>
  <c r="M39" i="12" s="1"/>
  <c r="O44" i="12" a="1"/>
  <c r="O44" i="12" s="1"/>
  <c r="M44" i="12" a="1"/>
  <c r="M44" i="12" s="1"/>
  <c r="K44" i="12" a="1"/>
  <c r="K44" i="12" s="1"/>
  <c r="N44" i="12" a="1"/>
  <c r="N44" i="12" s="1"/>
  <c r="L44" i="12" a="1"/>
  <c r="L44" i="12" s="1"/>
  <c r="N8" i="12" a="1"/>
  <c r="N8" i="12" s="1"/>
  <c r="P36" i="19" a="1"/>
  <c r="P36" i="19" s="1"/>
  <c r="N36" i="19" a="1"/>
  <c r="N36" i="19" s="1"/>
  <c r="L36" i="19" a="1"/>
  <c r="L36" i="19" s="1"/>
  <c r="M39" i="19" a="1"/>
  <c r="M39" i="19" s="1"/>
  <c r="O17" i="12" a="1"/>
  <c r="O17" i="12" s="1"/>
  <c r="M17" i="12" a="1"/>
  <c r="M17" i="12" s="1"/>
  <c r="K17" i="12" a="1"/>
  <c r="K17" i="12" s="1"/>
  <c r="N17" i="12" a="1"/>
  <c r="N17" i="12" s="1"/>
  <c r="O21" i="12" a="1"/>
  <c r="O21" i="12" s="1"/>
  <c r="M21" i="12" a="1"/>
  <c r="M21" i="12" s="1"/>
  <c r="K21" i="12" a="1"/>
  <c r="K21" i="12" s="1"/>
  <c r="L21" i="12" a="1"/>
  <c r="L21" i="12" s="1"/>
  <c r="N21" i="12" a="1"/>
  <c r="N21" i="12" s="1"/>
  <c r="O22" i="12" a="1"/>
  <c r="O22" i="12" s="1"/>
  <c r="K22" i="12" a="1"/>
  <c r="K22" i="12" s="1"/>
  <c r="M22" i="12" a="1"/>
  <c r="M22" i="12" s="1"/>
  <c r="L22" i="12" a="1"/>
  <c r="L22" i="12" s="1"/>
  <c r="L31" i="19" a="1"/>
  <c r="L31" i="19" s="1"/>
  <c r="M33" i="19" a="1"/>
  <c r="M33" i="19" s="1"/>
  <c r="L34" i="19" a="1"/>
  <c r="L34" i="19" s="1"/>
  <c r="O36" i="19" a="1"/>
  <c r="O36" i="19" s="1"/>
  <c r="O39" i="19" a="1"/>
  <c r="O39" i="19" s="1"/>
  <c r="O42" i="19" a="1"/>
  <c r="O42" i="19" s="1"/>
  <c r="M42" i="19" a="1"/>
  <c r="M42" i="19" s="1"/>
  <c r="P42" i="19" a="1"/>
  <c r="P42" i="19" s="1"/>
  <c r="M43" i="19" a="1"/>
  <c r="M43" i="19" s="1"/>
  <c r="P43" i="19" a="1"/>
  <c r="P43" i="19" s="1"/>
  <c r="L46" i="19" a="1"/>
  <c r="L46" i="19" s="1"/>
  <c r="M48" i="19" a="1"/>
  <c r="M48" i="19" s="1"/>
  <c r="P49" i="19" a="1"/>
  <c r="P49" i="19" s="1"/>
  <c r="M49" i="19" a="1"/>
  <c r="M49" i="19" s="1"/>
  <c r="L8" i="12" a="1"/>
  <c r="L8" i="12" s="1"/>
  <c r="N10" i="12" a="1"/>
  <c r="N10" i="12" s="1"/>
  <c r="K10" i="12" a="1"/>
  <c r="K10" i="12" s="1"/>
  <c r="N11" i="12" a="1"/>
  <c r="N11" i="12" s="1"/>
  <c r="L11" i="12" a="1"/>
  <c r="L11" i="12" s="1"/>
  <c r="M11" i="12" a="1"/>
  <c r="M11" i="12" s="1"/>
  <c r="O11" i="12" a="1"/>
  <c r="O11" i="12" s="1"/>
  <c r="K18" i="12" a="1"/>
  <c r="K18" i="12" s="1"/>
  <c r="N19" i="12" a="1"/>
  <c r="N19" i="12" s="1"/>
  <c r="L19" i="12" a="1"/>
  <c r="L19" i="12" s="1"/>
  <c r="K19" i="12" a="1"/>
  <c r="K19" i="12" s="1"/>
  <c r="O20" i="12" a="1"/>
  <c r="O20" i="12" s="1"/>
  <c r="L20" i="12" a="1"/>
  <c r="L20" i="12" s="1"/>
  <c r="M20" i="12" a="1"/>
  <c r="M20" i="12" s="1"/>
  <c r="O23" i="12" a="1"/>
  <c r="O23" i="12" s="1"/>
  <c r="K23" i="12" a="1"/>
  <c r="K23" i="12" s="1"/>
  <c r="N23" i="12" a="1"/>
  <c r="N23" i="12" s="1"/>
  <c r="M23" i="12" a="1"/>
  <c r="M23" i="12" s="1"/>
  <c r="O28" i="12" a="1"/>
  <c r="O28" i="12" s="1"/>
  <c r="M28" i="12" a="1"/>
  <c r="M28" i="12" s="1"/>
  <c r="K28" i="12" a="1"/>
  <c r="K28" i="12" s="1"/>
  <c r="N28" i="12" a="1"/>
  <c r="N28" i="12" s="1"/>
  <c r="L28" i="12" a="1"/>
  <c r="L28" i="12" s="1"/>
  <c r="K33" i="12" a="1"/>
  <c r="K33" i="12" s="1"/>
  <c r="M35" i="12" a="1"/>
  <c r="M35" i="12" s="1"/>
  <c r="K35" i="12" a="1"/>
  <c r="K35" i="12" s="1"/>
  <c r="O35" i="12" a="1"/>
  <c r="O35" i="12" s="1"/>
  <c r="N35" i="12" a="1"/>
  <c r="N35" i="12" s="1"/>
  <c r="P44" i="19" a="1"/>
  <c r="P44" i="19" s="1"/>
  <c r="N44" i="19" a="1"/>
  <c r="N44" i="19" s="1"/>
  <c r="L44" i="19" a="1"/>
  <c r="L44" i="19" s="1"/>
  <c r="L47" i="19" a="1"/>
  <c r="L47" i="19" s="1"/>
  <c r="M12" i="12" a="1"/>
  <c r="M12" i="12" s="1"/>
  <c r="O13" i="12" a="1"/>
  <c r="O13" i="12" s="1"/>
  <c r="M13" i="12" a="1"/>
  <c r="M13" i="12" s="1"/>
  <c r="K13" i="12" a="1"/>
  <c r="K13" i="12" s="1"/>
  <c r="K16" i="12" a="1"/>
  <c r="K16" i="12" s="1"/>
  <c r="K25" i="12" a="1"/>
  <c r="K25" i="12" s="1"/>
  <c r="N26" i="12" a="1"/>
  <c r="N26" i="12" s="1"/>
  <c r="L26" i="12" a="1"/>
  <c r="L26" i="12" s="1"/>
  <c r="O26" i="12" a="1"/>
  <c r="O26" i="12" s="1"/>
  <c r="M26" i="12" a="1"/>
  <c r="M26" i="12" s="1"/>
  <c r="K26" i="12" a="1"/>
  <c r="K26" i="12" s="1"/>
  <c r="L27" i="12" a="1"/>
  <c r="L27" i="12" s="1"/>
  <c r="K41" i="12" a="1"/>
  <c r="K41" i="12" s="1"/>
  <c r="N42" i="12" a="1"/>
  <c r="N42" i="12" s="1"/>
  <c r="L42" i="12" a="1"/>
  <c r="L42" i="12" s="1"/>
  <c r="O42" i="12" a="1"/>
  <c r="O42" i="12" s="1"/>
  <c r="M42" i="12" a="1"/>
  <c r="M42" i="12" s="1"/>
  <c r="K42" i="12" a="1"/>
  <c r="K42" i="12" s="1"/>
  <c r="L43" i="12" a="1"/>
  <c r="L43" i="12" s="1"/>
  <c r="O9" i="12" a="1"/>
  <c r="O9" i="12" s="1"/>
  <c r="M9" i="12" a="1"/>
  <c r="M9" i="12" s="1"/>
  <c r="K9" i="12" a="1"/>
  <c r="K9" i="12" s="1"/>
  <c r="K12" i="12" a="1"/>
  <c r="K12" i="12" s="1"/>
  <c r="O24" i="12" a="1"/>
  <c r="O24" i="12" s="1"/>
  <c r="M24" i="12" a="1"/>
  <c r="M24" i="12" s="1"/>
  <c r="K24" i="12" a="1"/>
  <c r="K24" i="12" s="1"/>
  <c r="N24" i="12" a="1"/>
  <c r="N24" i="12" s="1"/>
  <c r="L24" i="12" a="1"/>
  <c r="L24" i="12" s="1"/>
  <c r="L25" i="12" a="1"/>
  <c r="L25" i="12" s="1"/>
  <c r="O31" i="12" a="1"/>
  <c r="O31" i="12" s="1"/>
  <c r="K31" i="12" a="1"/>
  <c r="K31" i="12" s="1"/>
  <c r="M31" i="12" a="1"/>
  <c r="M31" i="12" s="1"/>
  <c r="O36" i="12" a="1"/>
  <c r="O36" i="12" s="1"/>
  <c r="M36" i="12" a="1"/>
  <c r="M36" i="12" s="1"/>
  <c r="K36" i="12" a="1"/>
  <c r="K36" i="12" s="1"/>
  <c r="N36" i="12" a="1"/>
  <c r="N36" i="12" s="1"/>
  <c r="L36" i="12" a="1"/>
  <c r="L36" i="12" s="1"/>
  <c r="O40" i="12" a="1"/>
  <c r="O40" i="12" s="1"/>
  <c r="M40" i="12" a="1"/>
  <c r="M40" i="12" s="1"/>
  <c r="K40" i="12" a="1"/>
  <c r="K40" i="12" s="1"/>
  <c r="N40" i="12" a="1"/>
  <c r="N40" i="12" s="1"/>
  <c r="L40" i="12" a="1"/>
  <c r="L40" i="12" s="1"/>
  <c r="L41" i="12" a="1"/>
  <c r="L41" i="12" s="1"/>
  <c r="O47" i="12" a="1"/>
  <c r="O47" i="12" s="1"/>
  <c r="K47" i="12" a="1"/>
  <c r="K47" i="12" s="1"/>
  <c r="N47" i="12" a="1"/>
  <c r="N47" i="12" s="1"/>
  <c r="M47" i="12" a="1"/>
  <c r="M47" i="12" s="1"/>
  <c r="N30" i="12" a="1"/>
  <c r="N30" i="12" s="1"/>
  <c r="L30" i="12" a="1"/>
  <c r="L30" i="12" s="1"/>
  <c r="O30" i="12" a="1"/>
  <c r="O30" i="12" s="1"/>
  <c r="M30" i="12" a="1"/>
  <c r="M30" i="12" s="1"/>
  <c r="K30" i="12" a="1"/>
  <c r="K30" i="12" s="1"/>
  <c r="N38" i="12" a="1"/>
  <c r="N38" i="12" s="1"/>
  <c r="L38" i="12" a="1"/>
  <c r="L38" i="12" s="1"/>
  <c r="O38" i="12" a="1"/>
  <c r="O38" i="12" s="1"/>
  <c r="M38" i="12" a="1"/>
  <c r="M38" i="12" s="1"/>
  <c r="K38" i="12" a="1"/>
  <c r="K38" i="12" s="1"/>
  <c r="N46" i="12" a="1"/>
  <c r="N46" i="12" s="1"/>
  <c r="L46" i="12" a="1"/>
  <c r="L46" i="12" s="1"/>
  <c r="O46" i="12" a="1"/>
  <c r="O46" i="12" s="1"/>
  <c r="M46" i="12" a="1"/>
  <c r="M46" i="12" s="1"/>
  <c r="K46" i="12" a="1"/>
  <c r="K46"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Katie King</author>
  </authors>
  <commentList>
    <comment ref="E23" authorId="0" shapeId="0" xr:uid="{00000000-0006-0000-0500-000001000000}">
      <text>
        <r>
          <rPr>
            <sz val="9"/>
            <color indexed="81"/>
            <rFont val="Tahoma"/>
            <family val="2"/>
          </rPr>
          <t>If you enter data here, please check that you are not double counting emissions that are already covered by operational emissions reported elsewhere</t>
        </r>
      </text>
    </comment>
    <comment ref="E24" authorId="0" shapeId="0" xr:uid="{00000000-0006-0000-0500-000002000000}">
      <text>
        <r>
          <rPr>
            <sz val="9"/>
            <color indexed="81"/>
            <rFont val="Tahoma"/>
            <family val="2"/>
          </rPr>
          <t>If you enter data here, please check that you are not double counting emissions that are already covered by operational emissions reported elsewhere</t>
        </r>
      </text>
    </comment>
    <comment ref="E25" authorId="0" shapeId="0" xr:uid="{00000000-0006-0000-0500-000003000000}">
      <text>
        <r>
          <rPr>
            <sz val="9"/>
            <color indexed="81"/>
            <rFont val="Tahoma"/>
            <family val="2"/>
          </rPr>
          <t>If you enter data here, please check that you are not double counting emissions that are already covered by operational emissions reported elsewhere</t>
        </r>
      </text>
    </comment>
    <comment ref="E26" authorId="0" shapeId="0" xr:uid="{00000000-0006-0000-0500-000004000000}">
      <text>
        <r>
          <rPr>
            <sz val="9"/>
            <color indexed="81"/>
            <rFont val="Tahoma"/>
            <family val="2"/>
          </rPr>
          <t>If you enter data here, please check that you are not double counting emissions that are already covered by operational emissions reported elsewhere</t>
        </r>
      </text>
    </comment>
    <comment ref="E27" authorId="0" shapeId="0" xr:uid="{00000000-0006-0000-0500-000005000000}">
      <text>
        <r>
          <rPr>
            <sz val="9"/>
            <color indexed="81"/>
            <rFont val="Tahoma"/>
            <family val="2"/>
          </rPr>
          <t>If you enter data here, please check that you are not double counting emissions that are already covered by operational emissions reported elsewhere</t>
        </r>
      </text>
    </comment>
  </commentList>
</comments>
</file>

<file path=xl/sharedStrings.xml><?xml version="1.0" encoding="utf-8"?>
<sst xmlns="http://schemas.openxmlformats.org/spreadsheetml/2006/main" count="7297" uniqueCount="1064">
  <si>
    <t>Local Authority</t>
  </si>
  <si>
    <t>Isle of Anglesey County Council</t>
  </si>
  <si>
    <t>Information cell or question</t>
  </si>
  <si>
    <t>Information entry. Some cells have drop down lists</t>
  </si>
  <si>
    <t>Person responsible for this report</t>
  </si>
  <si>
    <t>Activity data. Numeric data entry</t>
  </si>
  <si>
    <t>Calculated data</t>
  </si>
  <si>
    <t>North Wales</t>
  </si>
  <si>
    <t>Not used</t>
  </si>
  <si>
    <t>Reporting comments</t>
  </si>
  <si>
    <t>Summary of results</t>
  </si>
  <si>
    <t>Buildings, fleet &amp; other assets</t>
  </si>
  <si>
    <r>
      <t>Units of kgCO</t>
    </r>
    <r>
      <rPr>
        <b/>
        <vertAlign val="subscript"/>
        <sz val="10"/>
        <color rgb="FFFFFFFF"/>
        <rFont val="Calibri"/>
        <family val="2"/>
        <scheme val="minor"/>
      </rPr>
      <t>2</t>
    </r>
    <r>
      <rPr>
        <b/>
        <sz val="10"/>
        <color rgb="FFFFFFFF"/>
        <rFont val="Calibri"/>
        <family val="2"/>
        <scheme val="minor"/>
      </rPr>
      <t>e</t>
    </r>
  </si>
  <si>
    <t>Categories</t>
  </si>
  <si>
    <t>Direct</t>
  </si>
  <si>
    <t>Indirect</t>
  </si>
  <si>
    <t>Total</t>
  </si>
  <si>
    <t>Outside of scopes</t>
  </si>
  <si>
    <t>Scope 1</t>
  </si>
  <si>
    <t>Scope 2</t>
  </si>
  <si>
    <t>Scope 3</t>
  </si>
  <si>
    <t>Business travel, commuting &amp; homeworking</t>
  </si>
  <si>
    <t>Business travel</t>
  </si>
  <si>
    <t>Commuting</t>
  </si>
  <si>
    <t>Homeworking</t>
  </si>
  <si>
    <t>Waste</t>
  </si>
  <si>
    <t>Organisational waste</t>
  </si>
  <si>
    <t>Municipal waste</t>
  </si>
  <si>
    <t>Project waste</t>
  </si>
  <si>
    <t>Renewables</t>
  </si>
  <si>
    <t>Units of kWh</t>
  </si>
  <si>
    <t>Total generated</t>
  </si>
  <si>
    <t>Total exported</t>
  </si>
  <si>
    <t>Onsite renewables - heat</t>
  </si>
  <si>
    <t>Onsite renewables - electricity</t>
  </si>
  <si>
    <t>Onsite renewables - CHP</t>
  </si>
  <si>
    <t>Purchased renewables - heat</t>
  </si>
  <si>
    <t>Purchased renewables - electricity</t>
  </si>
  <si>
    <t>Agriculture, forestry and fishing</t>
  </si>
  <si>
    <t>Total emissions</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</si>
  <si>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</si>
  <si>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</si>
  <si>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</si>
  <si>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</si>
  <si>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</si>
  <si>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</si>
  <si>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</si>
  <si>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</si>
  <si>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</si>
  <si>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</si>
  <si>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</si>
  <si>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</si>
  <si>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</si>
  <si>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</si>
  <si>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</si>
  <si>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</si>
  <si>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</si>
  <si>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</si>
  <si>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households as employers; undifferentiated goods- and services-producing activities of households for own use</t>
  </si>
  <si>
    <t>Cell colour codes:</t>
  </si>
  <si>
    <t>Buildings</t>
  </si>
  <si>
    <t>Emission data breakdown (kg CO2e)</t>
  </si>
  <si>
    <t>Ownership structure</t>
  </si>
  <si>
    <t>Fuel/emission source</t>
  </si>
  <si>
    <t>Category 1</t>
  </si>
  <si>
    <t>Methodology</t>
  </si>
  <si>
    <t>RSD</t>
  </si>
  <si>
    <t>Data</t>
  </si>
  <si>
    <t>Units</t>
  </si>
  <si>
    <t>Converted data</t>
  </si>
  <si>
    <t>Standard units</t>
  </si>
  <si>
    <t>Total EF (kgCO2e/unit)</t>
  </si>
  <si>
    <t>Notes</t>
  </si>
  <si>
    <t>Indirect generation</t>
  </si>
  <si>
    <t>Indirect service</t>
  </si>
  <si>
    <t>Indirect T&amp;D</t>
  </si>
  <si>
    <t>Indirect WTT</t>
  </si>
  <si>
    <t>Buildings we own and occupy</t>
  </si>
  <si>
    <t>Natural gas</t>
  </si>
  <si>
    <t>All natural gas</t>
  </si>
  <si>
    <t>Tier 3</t>
  </si>
  <si>
    <t>kWh</t>
  </si>
  <si>
    <t>Data complete but requires effort to collect and process</t>
  </si>
  <si>
    <t>Tier 1</t>
  </si>
  <si>
    <t>LPG</t>
  </si>
  <si>
    <t>All LPG</t>
  </si>
  <si>
    <t>Gas oil</t>
  </si>
  <si>
    <t>All gas oil</t>
  </si>
  <si>
    <t>Grid electricity</t>
  </si>
  <si>
    <t>Consumption based</t>
  </si>
  <si>
    <t>Kerosene</t>
  </si>
  <si>
    <t>All kerosene</t>
  </si>
  <si>
    <t>Streetlighting</t>
  </si>
  <si>
    <t>Type of lighting</t>
  </si>
  <si>
    <t>Data complete and easy to collect and process</t>
  </si>
  <si>
    <t>Fleet and equipment - fuel</t>
  </si>
  <si>
    <t>Type</t>
  </si>
  <si>
    <t>Fuel</t>
  </si>
  <si>
    <t>Equipment</t>
  </si>
  <si>
    <t>Fleet - distance</t>
  </si>
  <si>
    <t>Size</t>
  </si>
  <si>
    <t>Agriculture</t>
  </si>
  <si>
    <t xml:space="preserve">
</t>
  </si>
  <si>
    <t>Emission source</t>
  </si>
  <si>
    <t>Category 2</t>
  </si>
  <si>
    <t>Motorbike</t>
  </si>
  <si>
    <t>Average</t>
  </si>
  <si>
    <t>Petrol</t>
  </si>
  <si>
    <t>Tier 2</t>
  </si>
  <si>
    <t>Waste type</t>
  </si>
  <si>
    <t>Disposal</t>
  </si>
  <si>
    <t>Household residual waste</t>
  </si>
  <si>
    <t>Landfill</t>
  </si>
  <si>
    <t>tonnes</t>
  </si>
  <si>
    <t>Mixed WEEE</t>
  </si>
  <si>
    <t>Recycling</t>
  </si>
  <si>
    <t>Soil type</t>
  </si>
  <si>
    <t>Indirect emissions from the supply chain</t>
  </si>
  <si>
    <t>Supply chain - tier 1 methodology</t>
  </si>
  <si>
    <t>Supply chain group</t>
  </si>
  <si>
    <t>SIC code (SIC 2007)</t>
  </si>
  <si>
    <t>Product category</t>
  </si>
  <si>
    <t>Amount spent by product category (£)</t>
  </si>
  <si>
    <t>Notes on data source and exclusions</t>
  </si>
  <si>
    <t>AGRICULTURE, FORESTRY AND FISHING</t>
  </si>
  <si>
    <t>01</t>
  </si>
  <si>
    <t>Agriculture products</t>
  </si>
  <si>
    <t>02</t>
  </si>
  <si>
    <t>Forestry products</t>
  </si>
  <si>
    <t>03</t>
  </si>
  <si>
    <t>Fish products</t>
  </si>
  <si>
    <t>MINING AND QUARRYING</t>
  </si>
  <si>
    <t>05</t>
  </si>
  <si>
    <t>08</t>
  </si>
  <si>
    <t xml:space="preserve">Other mining and quarrying products           </t>
  </si>
  <si>
    <t>09</t>
  </si>
  <si>
    <t xml:space="preserve">Mining support services             </t>
  </si>
  <si>
    <t>MANUFACTURING</t>
  </si>
  <si>
    <t>10.1</t>
  </si>
  <si>
    <t xml:space="preserve">Preserved meat and meat products           </t>
  </si>
  <si>
    <t xml:space="preserve">Processed and preserved fish, crustaceans, molluscs, fruit and vegetables       </t>
  </si>
  <si>
    <t>10.4</t>
  </si>
  <si>
    <t xml:space="preserve">Vegetable and animal oils and fats          </t>
  </si>
  <si>
    <t>10.5</t>
  </si>
  <si>
    <t xml:space="preserve">Dairy products              </t>
  </si>
  <si>
    <t>10.6</t>
  </si>
  <si>
    <t xml:space="preserve">Grain mill products, starches and starch products         </t>
  </si>
  <si>
    <t>10.7</t>
  </si>
  <si>
    <t xml:space="preserve">Bakery and farinaceous products            </t>
  </si>
  <si>
    <t>10.8</t>
  </si>
  <si>
    <t xml:space="preserve">Other food products             </t>
  </si>
  <si>
    <t xml:space="preserve">Prepared animal feeds             </t>
  </si>
  <si>
    <t>11.01-6</t>
  </si>
  <si>
    <t xml:space="preserve">Alcoholic beverages              </t>
  </si>
  <si>
    <t xml:space="preserve">Soft drinks              </t>
  </si>
  <si>
    <t xml:space="preserve">Tobacco products              </t>
  </si>
  <si>
    <t xml:space="preserve">Wearing apparel              </t>
  </si>
  <si>
    <t xml:space="preserve">Paper and paper products            </t>
  </si>
  <si>
    <t xml:space="preserve">Printing and recording services            </t>
  </si>
  <si>
    <t xml:space="preserve">Coke and refined petroleum products           </t>
  </si>
  <si>
    <t>20A</t>
  </si>
  <si>
    <t>20B</t>
  </si>
  <si>
    <t>20C</t>
  </si>
  <si>
    <t xml:space="preserve">Paints, varnishes and similar coatings, printing ink and mastics       </t>
  </si>
  <si>
    <t xml:space="preserve">Soap and detergents, cleaning and polishing preparations, perfumes and toilet preparations     </t>
  </si>
  <si>
    <t xml:space="preserve">Basic pharmaceutical products and pharmaceutical preparations          </t>
  </si>
  <si>
    <t xml:space="preserve">Rubber and plastic products            </t>
  </si>
  <si>
    <t>23OTHER</t>
  </si>
  <si>
    <t>23.5-6</t>
  </si>
  <si>
    <t>24.1-3</t>
  </si>
  <si>
    <t xml:space="preserve">Basic iron and steel            </t>
  </si>
  <si>
    <t>24.4-5</t>
  </si>
  <si>
    <t xml:space="preserve">Other basic metals and casting           </t>
  </si>
  <si>
    <t>25OTHER</t>
  </si>
  <si>
    <t xml:space="preserve">Weapons and ammunition             </t>
  </si>
  <si>
    <t xml:space="preserve">Computer, electronic and optical products           </t>
  </si>
  <si>
    <t xml:space="preserve">Electrical equipment              </t>
  </si>
  <si>
    <t xml:space="preserve">Machinery and equipment n.e.c.            </t>
  </si>
  <si>
    <t xml:space="preserve">Motor vehicles, trailers and semi-trailers           </t>
  </si>
  <si>
    <t xml:space="preserve">Ships and boats             </t>
  </si>
  <si>
    <t xml:space="preserve">Air and spacecraft and related machinery          </t>
  </si>
  <si>
    <t>30OTHER</t>
  </si>
  <si>
    <t xml:space="preserve">Other transport equipment - 30.2/4/9           </t>
  </si>
  <si>
    <t xml:space="preserve">Furniture               </t>
  </si>
  <si>
    <t xml:space="preserve">Other manufactured goods             </t>
  </si>
  <si>
    <t xml:space="preserve">Repair and maintenance of ships and boats         </t>
  </si>
  <si>
    <t xml:space="preserve">Repair and maintenance of aircraft and spacecraft         </t>
  </si>
  <si>
    <t>33OTHER</t>
  </si>
  <si>
    <t xml:space="preserve">Rest of repair; Installation - 33.11-14/17/19/20          </t>
  </si>
  <si>
    <t>ELECTRICITY, GAS, STEAM AND AIR CONDITIONING SUPPLY</t>
  </si>
  <si>
    <t>Electricity, transmission and distribution</t>
  </si>
  <si>
    <t>35.2-3</t>
  </si>
  <si>
    <t>WATER SUPPLY; SEWERAGE, WASTE MANAGEMENT AND REMEDIATION ACTIVITIES</t>
  </si>
  <si>
    <t xml:space="preserve">Natural water; water treatment and supply services         </t>
  </si>
  <si>
    <t xml:space="preserve">Sewerage services; sewage sludge            </t>
  </si>
  <si>
    <t xml:space="preserve">Waste collection, treatment and disposal services; materials recovery services       </t>
  </si>
  <si>
    <t xml:space="preserve">Remediation services and other waste management services         </t>
  </si>
  <si>
    <t>CONSTRUCTION</t>
  </si>
  <si>
    <t>WHOLESALE AND RETAIL TRADE; REPAIR OF MOTOR VEHICLES AND MOTORCYCLES</t>
  </si>
  <si>
    <t xml:space="preserve">Wholesale and retail trade and repair services of motor vehicles and motorcycles    </t>
  </si>
  <si>
    <t xml:space="preserve">Wholesale trade services, except of motor vehicles and motorcycles       </t>
  </si>
  <si>
    <t xml:space="preserve">Retail trade services, except of motor vehicles and motorcycles       </t>
  </si>
  <si>
    <t>TRANSPORTATION AND STORAGE</t>
  </si>
  <si>
    <t>49.1-2</t>
  </si>
  <si>
    <t>49.3-5</t>
  </si>
  <si>
    <t xml:space="preserve">Warehousing and support services for transportation          </t>
  </si>
  <si>
    <t xml:space="preserve">Postal and courier services            </t>
  </si>
  <si>
    <t>ACCOMMODATION AND FOOD SERVICE ACTIVITIES</t>
  </si>
  <si>
    <t xml:space="preserve">Accommodation services              </t>
  </si>
  <si>
    <t xml:space="preserve">Food and beverage serving services           </t>
  </si>
  <si>
    <t>INFORMATION AND COMMUNICATION</t>
  </si>
  <si>
    <t xml:space="preserve">Publishing services              </t>
  </si>
  <si>
    <t xml:space="preserve">Telecommunications services              </t>
  </si>
  <si>
    <t xml:space="preserve">Computer programming, consultancy and related services          </t>
  </si>
  <si>
    <t xml:space="preserve">Information services              </t>
  </si>
  <si>
    <t>FINANCIAL AND INSURANCE ACTIVITIES</t>
  </si>
  <si>
    <t xml:space="preserve">Financial services, except insurance and pension funding         </t>
  </si>
  <si>
    <t xml:space="preserve">Services auxiliary to financial services and insurance services        </t>
  </si>
  <si>
    <t>REAL ESTATE ACTIVITIES</t>
  </si>
  <si>
    <t xml:space="preserve">Real estate services, excluding on a fee or contract basis and imputed rent   </t>
  </si>
  <si>
    <t>68.2IMP</t>
  </si>
  <si>
    <t>Owner-Occupiers' Housing Services</t>
  </si>
  <si>
    <t xml:space="preserve">Real estate services on a fee or contract basis       </t>
  </si>
  <si>
    <t>PROFESSIONAL, SCIENTIFIC AND TECHNICAL ACTIVITIES</t>
  </si>
  <si>
    <t xml:space="preserve">Legal services              </t>
  </si>
  <si>
    <t xml:space="preserve">Accounting, bookkeeping and auditing services; tax consulting services        </t>
  </si>
  <si>
    <t xml:space="preserve">Services of head offices; management consulting services         </t>
  </si>
  <si>
    <t xml:space="preserve">Architectural and engineering services; technical testing and analysis services       </t>
  </si>
  <si>
    <t xml:space="preserve">Scientific research and development services           </t>
  </si>
  <si>
    <t xml:space="preserve">Advertising and market research services           </t>
  </si>
  <si>
    <t xml:space="preserve">Other professional, scientific and technical services          </t>
  </si>
  <si>
    <t xml:space="preserve">Veterinary services              </t>
  </si>
  <si>
    <t>ADMINISTRATIVE AND SUPPORT SERVICE ACTIVITIES</t>
  </si>
  <si>
    <t xml:space="preserve">Rental and leasing services            </t>
  </si>
  <si>
    <t xml:space="preserve">Employment services              </t>
  </si>
  <si>
    <t xml:space="preserve">Travel agency, tour operator and other reservation services and related services     </t>
  </si>
  <si>
    <t xml:space="preserve">Security and investigation services            </t>
  </si>
  <si>
    <t xml:space="preserve">Services to buildings and landscape           </t>
  </si>
  <si>
    <t xml:space="preserve">Office administrative, office support and other business support services       </t>
  </si>
  <si>
    <t>PUBLIC ADMINISTRATION AND DEFENCE; COMPULSORY SOCIAL SECURITY</t>
  </si>
  <si>
    <t xml:space="preserve">Public administration and defence services; compulsory social security services       </t>
  </si>
  <si>
    <t>EDUCATION</t>
  </si>
  <si>
    <t xml:space="preserve">Education services              </t>
  </si>
  <si>
    <t>HUMAN HEALTH AND SOCIAL WORK ACTIVITIES</t>
  </si>
  <si>
    <t xml:space="preserve">Human health services             </t>
  </si>
  <si>
    <t>ARTS, ENTERTAINMENT AND RECREATION</t>
  </si>
  <si>
    <t xml:space="preserve">Creative, arts and entertainment services           </t>
  </si>
  <si>
    <t xml:space="preserve">Libraries, archives, museums and other cultural services         </t>
  </si>
  <si>
    <t xml:space="preserve">Gambling and betting services            </t>
  </si>
  <si>
    <t xml:space="preserve">Sports services and amusement and recreation services         </t>
  </si>
  <si>
    <t>OTHER SERVICE ACTIVITIES</t>
  </si>
  <si>
    <t xml:space="preserve">Services furnished by membership organisations           </t>
  </si>
  <si>
    <t xml:space="preserve">Repair services of computers and personal and household goods       </t>
  </si>
  <si>
    <t xml:space="preserve">Other personal services             </t>
  </si>
  <si>
    <t>ACTIVITIES OF HOUSEHOLDS AS EMPLOYERS; UNDIFFERENTIATED GOODS- AND SERVICES-PRODUCING ACTIVITIES OF HOUSEHOLDS FOR OWN USE</t>
  </si>
  <si>
    <t xml:space="preserve">Services of households as employers of domestic personnel        </t>
  </si>
  <si>
    <t>Supply chain - tier 2 methodology</t>
  </si>
  <si>
    <t>Spend for which Tier 2 method accounts</t>
  </si>
  <si>
    <t>Calculated emissions (kgCO2e) for this spend</t>
  </si>
  <si>
    <t>Notes on data source and methods</t>
  </si>
  <si>
    <t>Onsite renewables</t>
  </si>
  <si>
    <t>Renewable Type</t>
  </si>
  <si>
    <t>Technology</t>
  </si>
  <si>
    <t>Total kWh generated</t>
  </si>
  <si>
    <t>kWh consumed onsite</t>
  </si>
  <si>
    <t>kWh exported</t>
  </si>
  <si>
    <t>Renewable heat</t>
  </si>
  <si>
    <t>Water source heat pump</t>
  </si>
  <si>
    <t>Renewable electricity</t>
  </si>
  <si>
    <t>Renewable CHP electricity</t>
  </si>
  <si>
    <t>Biomass CHP</t>
  </si>
  <si>
    <t>Purchased renewables</t>
  </si>
  <si>
    <t>Agreement</t>
  </si>
  <si>
    <t>Total kWh purchased</t>
  </si>
  <si>
    <t>Purchased renewable heat</t>
  </si>
  <si>
    <t>Heat purchased from district heat ring</t>
  </si>
  <si>
    <t>Purchased renewable electricity</t>
  </si>
  <si>
    <t>The carbon footprint of waste streams in a UK hospital, Journal of Cleaner Production, 281, 2021. Rizan et al</t>
  </si>
  <si>
    <t>Fleet &amp; equipment</t>
  </si>
  <si>
    <t>Land use</t>
  </si>
  <si>
    <t>Other typical unit</t>
  </si>
  <si>
    <t>Fuels</t>
  </si>
  <si>
    <t>Bioenergy</t>
  </si>
  <si>
    <t>UK electricity</t>
  </si>
  <si>
    <t>Heat and steam</t>
  </si>
  <si>
    <t>WTT - fuels</t>
  </si>
  <si>
    <t>WTT- bioenergy</t>
  </si>
  <si>
    <t>Transmission and distribution</t>
  </si>
  <si>
    <t>WTT- UK &amp; overseas elec</t>
  </si>
  <si>
    <t>WTT- heat and steam</t>
  </si>
  <si>
    <t>Water supply</t>
  </si>
  <si>
    <t>Water treatment</t>
  </si>
  <si>
    <t>Waste disposal</t>
  </si>
  <si>
    <t>Business travel- air</t>
  </si>
  <si>
    <t>WTT- business travel- air</t>
  </si>
  <si>
    <t>Business travel- sea</t>
  </si>
  <si>
    <t>WTT- business travel- sea</t>
  </si>
  <si>
    <t>Business travel- land</t>
  </si>
  <si>
    <t>WTT- pass vehs &amp; travel- land</t>
  </si>
  <si>
    <t>Freighting goods</t>
  </si>
  <si>
    <t>WTT - delivery vehs &amp; freight</t>
  </si>
  <si>
    <t>Table 2</t>
  </si>
  <si>
    <t>Table 3</t>
  </si>
  <si>
    <t>Table 4</t>
  </si>
  <si>
    <t>UK Efs calculated from 2019 NAEI data</t>
  </si>
  <si>
    <t>Y</t>
  </si>
  <si>
    <t>N</t>
  </si>
  <si>
    <t>Gross CV</t>
  </si>
  <si>
    <t>m3</t>
  </si>
  <si>
    <t>Standard natural gas received through the gas mains grid network in the UK. Note - contains limited biogas content.</t>
  </si>
  <si>
    <t>litres</t>
  </si>
  <si>
    <t>Wood pellets</t>
  </si>
  <si>
    <t>Wood chips</t>
  </si>
  <si>
    <t>Biogas</t>
  </si>
  <si>
    <t>Grid electricity is made up of generation (scope 2) and transmission &amp; distribution (scope 3). Each of these parts have associated WTT emissions.</t>
  </si>
  <si>
    <t>Onsite</t>
  </si>
  <si>
    <t>Use these factors for onsite or adjacent suppliers</t>
  </si>
  <si>
    <t>District</t>
  </si>
  <si>
    <t>Use these factors if the heat and steam are being supplied through a longer network</t>
  </si>
  <si>
    <t>Water</t>
  </si>
  <si>
    <t>Mains supply</t>
  </si>
  <si>
    <t>Mains treatment</t>
  </si>
  <si>
    <t>Onsite supply</t>
  </si>
  <si>
    <t>Assumed that onsite supply from rainwater or borehole requires no additional processing</t>
  </si>
  <si>
    <t>Onsite treatment</t>
  </si>
  <si>
    <t>Assumed that onsite treatment produces no additional emissions</t>
  </si>
  <si>
    <t>Diesel</t>
  </si>
  <si>
    <t>Average biofuel blend</t>
  </si>
  <si>
    <t>100% mineral diesel</t>
  </si>
  <si>
    <t>100% mineral petrol</t>
  </si>
  <si>
    <t>Biodiesel</t>
  </si>
  <si>
    <t>HVO</t>
  </si>
  <si>
    <t>ME</t>
  </si>
  <si>
    <t>Biopetrol</t>
  </si>
  <si>
    <t>100% biopetrol</t>
  </si>
  <si>
    <t>Farmland soils</t>
  </si>
  <si>
    <t>Improved grassland</t>
  </si>
  <si>
    <t>hectares</t>
  </si>
  <si>
    <t>km2</t>
  </si>
  <si>
    <t>Arable land</t>
  </si>
  <si>
    <t>Livestock</t>
  </si>
  <si>
    <t>Dairy cattle</t>
  </si>
  <si>
    <t>Head</t>
  </si>
  <si>
    <t>Non-dairy cattle</t>
  </si>
  <si>
    <t>Pigs</t>
  </si>
  <si>
    <t>Poultry</t>
  </si>
  <si>
    <t>Horses</t>
  </si>
  <si>
    <t>Sheep and goats</t>
  </si>
  <si>
    <t>Van</t>
  </si>
  <si>
    <t>Average (up to 3.5 tonnes)</t>
  </si>
  <si>
    <t>Vehicle km</t>
  </si>
  <si>
    <t>Vehicle miles</t>
  </si>
  <si>
    <t>Battery Electric Vehicle</t>
  </si>
  <si>
    <t>Unknown</t>
  </si>
  <si>
    <t>HGV</t>
  </si>
  <si>
    <t>Average rigid</t>
  </si>
  <si>
    <t>Average laden</t>
  </si>
  <si>
    <t>Average articulated</t>
  </si>
  <si>
    <t>Average HGV</t>
  </si>
  <si>
    <t>Pool car</t>
  </si>
  <si>
    <t>Hybrid</t>
  </si>
  <si>
    <t>Plug-in Hybrid Electric Vehicle</t>
  </si>
  <si>
    <t>Unknown fuel</t>
  </si>
  <si>
    <t>Private car</t>
  </si>
  <si>
    <t>Small</t>
  </si>
  <si>
    <t>Medium</t>
  </si>
  <si>
    <t>Large</t>
  </si>
  <si>
    <t>Hire car</t>
  </si>
  <si>
    <t>Public transport</t>
  </si>
  <si>
    <t>Taxi</t>
  </si>
  <si>
    <t>Taxi - Regular</t>
  </si>
  <si>
    <t>Passenger km</t>
  </si>
  <si>
    <t>Passenger miles</t>
  </si>
  <si>
    <t>Taxi - Black cab</t>
  </si>
  <si>
    <t>Bus</t>
  </si>
  <si>
    <t>Average local bus</t>
  </si>
  <si>
    <t>Coach</t>
  </si>
  <si>
    <t>Rail</t>
  </si>
  <si>
    <t>National rail</t>
  </si>
  <si>
    <t>International rail</t>
  </si>
  <si>
    <t>Light rail and tram</t>
  </si>
  <si>
    <t>London Underground</t>
  </si>
  <si>
    <t>Ferry</t>
  </si>
  <si>
    <t>Ferry - Foot passenger</t>
  </si>
  <si>
    <t>Ferry - Car passenger</t>
  </si>
  <si>
    <t>Flight</t>
  </si>
  <si>
    <t>Domestic</t>
  </si>
  <si>
    <t>Economy</t>
  </si>
  <si>
    <t>Business</t>
  </si>
  <si>
    <t>Home office electricity and heating fuel</t>
  </si>
  <si>
    <t>FTE year</t>
  </si>
  <si>
    <t>Aggregates</t>
  </si>
  <si>
    <t>kg</t>
  </si>
  <si>
    <t>Average construction</t>
  </si>
  <si>
    <t>Asbestos</t>
  </si>
  <si>
    <t>Asphalt</t>
  </si>
  <si>
    <t>Bricks</t>
  </si>
  <si>
    <t>Concrete</t>
  </si>
  <si>
    <t>Insulation</t>
  </si>
  <si>
    <t>Metals</t>
  </si>
  <si>
    <t>Soils</t>
  </si>
  <si>
    <t>Mineral oil</t>
  </si>
  <si>
    <t>Combustion</t>
  </si>
  <si>
    <t>Plasterboard</t>
  </si>
  <si>
    <t>Tyres</t>
  </si>
  <si>
    <t>Wood</t>
  </si>
  <si>
    <t>Composting</t>
  </si>
  <si>
    <t>Anaerobic digestion</t>
  </si>
  <si>
    <t>Commercial and industrial waste</t>
  </si>
  <si>
    <t>Mixed plastics</t>
  </si>
  <si>
    <t>Mixed glass</t>
  </si>
  <si>
    <t>Mixed metal cans</t>
  </si>
  <si>
    <t>Mixed paper</t>
  </si>
  <si>
    <t>Mixed recycling</t>
  </si>
  <si>
    <t>Batteries</t>
  </si>
  <si>
    <t>Clothing</t>
  </si>
  <si>
    <t>Organic food and drink</t>
  </si>
  <si>
    <t>Organic garden</t>
  </si>
  <si>
    <t>Organic mixed</t>
  </si>
  <si>
    <t>Non infectious offensive waste</t>
  </si>
  <si>
    <t>Infectious waste</t>
  </si>
  <si>
    <t>Autoclave treatment and combustion</t>
  </si>
  <si>
    <t>Clinical waste</t>
  </si>
  <si>
    <t>High temperature incineration</t>
  </si>
  <si>
    <t>Medical contaminated sharps waste</t>
  </si>
  <si>
    <t>Anatomical waste</t>
  </si>
  <si>
    <t>Medicinal waste</t>
  </si>
  <si>
    <t>Forest land</t>
  </si>
  <si>
    <t>Cropland</t>
  </si>
  <si>
    <t>Grassland</t>
  </si>
  <si>
    <t>Wetlands</t>
  </si>
  <si>
    <t>Settlements</t>
  </si>
  <si>
    <t>Other land</t>
  </si>
  <si>
    <t>Mineral</t>
  </si>
  <si>
    <t>Organic</t>
  </si>
  <si>
    <t>Coal</t>
  </si>
  <si>
    <t>Benchmarking data</t>
  </si>
  <si>
    <t>Energy use in building benchmarks</t>
  </si>
  <si>
    <t>Water use and waste benchmarks</t>
  </si>
  <si>
    <t>Commuting benchmarks</t>
  </si>
  <si>
    <t>The source of building water benchmarks is a publication by the Better Buildings Partnership (2017 Real Estate Environmental Benchmarks: January 2018 ). Organisations are free to use alternative sources of benchmark water data but any data sources should be carefully documented, along with rationale for selection.</t>
  </si>
  <si>
    <t xml:space="preserve">The average commuting distance in Wales average is 9.5 miles/ 15.3 km and the modal split is shown in the table below. Data source: ‘The Car and the Commute: The journey to work in England and Wales’ report by the RAC Foundation </t>
  </si>
  <si>
    <t>Name</t>
  </si>
  <si>
    <t>Description</t>
  </si>
  <si>
    <r>
      <t>Good practice benchmark (m</t>
    </r>
    <r>
      <rPr>
        <b/>
        <vertAlign val="superscript"/>
        <sz val="10"/>
        <color rgb="FFFFFFFF"/>
        <rFont val="Calibri"/>
        <family val="2"/>
        <scheme val="minor"/>
      </rPr>
      <t>3</t>
    </r>
    <r>
      <rPr>
        <b/>
        <sz val="10"/>
        <color rgb="FFFFFFFF"/>
        <rFont val="Calibri"/>
        <family val="2"/>
        <scheme val="minor"/>
      </rPr>
      <t>/person/working day)</t>
    </r>
  </si>
  <si>
    <r>
      <t>Typical practice benchmark (m</t>
    </r>
    <r>
      <rPr>
        <b/>
        <vertAlign val="superscript"/>
        <sz val="10"/>
        <color rgb="FFFFFFFF"/>
        <rFont val="Calibri"/>
        <family val="2"/>
        <scheme val="minor"/>
      </rPr>
      <t>3</t>
    </r>
    <r>
      <rPr>
        <b/>
        <sz val="10"/>
        <color rgb="FFFFFFFF"/>
        <rFont val="Calibri"/>
        <family val="2"/>
        <scheme val="minor"/>
      </rPr>
      <t>/person/working day)</t>
    </r>
  </si>
  <si>
    <t>Travel mode</t>
  </si>
  <si>
    <t>% split</t>
  </si>
  <si>
    <t>Source</t>
  </si>
  <si>
    <t>Offices</t>
  </si>
  <si>
    <t>Car</t>
  </si>
  <si>
    <t>https://www.racfoundation.org/assets/rac_foundation/content/downloadables/car-and-the-commute-web-version.pdf</t>
  </si>
  <si>
    <t>Car passenger</t>
  </si>
  <si>
    <t>Waste benchmarks have been taken from WRAP (Waste &amp; Resources Action Programme) Green Office: A Guide to Running a More Cost-effective and Environmentally Sustainable Office .</t>
  </si>
  <si>
    <t>Taxi/ mini cab</t>
  </si>
  <si>
    <t>Good practice benchmark (quantity per person per year)</t>
  </si>
  <si>
    <t>Walking</t>
  </si>
  <si>
    <t>less than 200kg</t>
  </si>
  <si>
    <t>Moped/ Motorbike</t>
  </si>
  <si>
    <t>Public transport £/passenger km benchmarks</t>
  </si>
  <si>
    <t xml:space="preserve">Where only data on total cost by travel mode is available, and in the absence of any more accurate local estimates, the following estimates of £/passenger km can be used to estimate kilometres travelled from spend. </t>
  </si>
  <si>
    <t>Cycling</t>
  </si>
  <si>
    <t>Work from home</t>
  </si>
  <si>
    <t>£/passenger km</t>
  </si>
  <si>
    <t>Other</t>
  </si>
  <si>
    <t>Table 12.10 Revenue per passenger kilometre and revenue per passenger journey. Office of Rail and Road. UK Government</t>
  </si>
  <si>
    <t>WRC estimation from Department for Transport and National Statistics – Table BUS0304. https://www.gov.uk/government/statistical-data-sets/buses-statistical-tables-index</t>
  </si>
  <si>
    <t>https://www.walesonline.co.uk/news/wales-news/dragon-taxis-cardiff-cost-fares-17767633</t>
  </si>
  <si>
    <t>Air</t>
  </si>
  <si>
    <t>-</t>
  </si>
  <si>
    <t>http://www.webflyer.com/travel/mileage_calculator/</t>
  </si>
  <si>
    <t xml:space="preserve">Calculate distance travelled for each of the journeys taken. Option to choose top ten frequent trips and work out an average £/passenger km to apply to remainder. </t>
  </si>
  <si>
    <t>Waste density table</t>
  </si>
  <si>
    <t>Density factors for waste</t>
  </si>
  <si>
    <t>EWC code</t>
  </si>
  <si>
    <t>Density conversion factor (kg per litre)</t>
  </si>
  <si>
    <t>20 01 01</t>
  </si>
  <si>
    <t>paper and cardboard</t>
  </si>
  <si>
    <t>20 01 02</t>
  </si>
  <si>
    <t>20 01 08</t>
  </si>
  <si>
    <t>biodegradable kitchen and canteen waste</t>
  </si>
  <si>
    <t>20 01 10</t>
  </si>
  <si>
    <t>20 01 36</t>
  </si>
  <si>
    <t>discarded electrical and electronic equipment other than those mentioned in 20 01 21, 20 01 23 and 20 01 35</t>
  </si>
  <si>
    <t>20 01 38</t>
  </si>
  <si>
    <t>wood other than that mentioned in 20 01 37</t>
  </si>
  <si>
    <t>20 01 39</t>
  </si>
  <si>
    <t>20 01 40</t>
  </si>
  <si>
    <t>20 02 01</t>
  </si>
  <si>
    <t>biodegradable waste</t>
  </si>
  <si>
    <t>20 03 01</t>
  </si>
  <si>
    <t>mixed municipal waste</t>
  </si>
  <si>
    <t>General lists</t>
  </si>
  <si>
    <t>Organisational data</t>
  </si>
  <si>
    <t>Business travel, commuting and home working</t>
  </si>
  <si>
    <t>Supply chain</t>
  </si>
  <si>
    <t>Product Category Lookup</t>
  </si>
  <si>
    <t>RSD lookup by tier</t>
  </si>
  <si>
    <t>Ease</t>
  </si>
  <si>
    <t>Yesno</t>
  </si>
  <si>
    <t>Reporting year</t>
  </si>
  <si>
    <t>Land use types</t>
  </si>
  <si>
    <t>Buildings ownership</t>
  </si>
  <si>
    <t>Organisationalwaste</t>
  </si>
  <si>
    <t>Municipalwaste</t>
  </si>
  <si>
    <t>Projectwaste</t>
  </si>
  <si>
    <t>Wasteunits</t>
  </si>
  <si>
    <t>Businesstravel</t>
  </si>
  <si>
    <t>Streetlights</t>
  </si>
  <si>
    <t>Methodologyall</t>
  </si>
  <si>
    <t>Health Board or Trust</t>
  </si>
  <si>
    <t>Traffic signs</t>
  </si>
  <si>
    <t>Data incomplete but easy to collect and process</t>
  </si>
  <si>
    <t>National Park</t>
  </si>
  <si>
    <t>Other public lighting</t>
  </si>
  <si>
    <t>Public Transport</t>
  </si>
  <si>
    <t>Data incomplete and requires effort to collect and processs</t>
  </si>
  <si>
    <t>Fire and Rescue Service</t>
  </si>
  <si>
    <t>All fleet</t>
  </si>
  <si>
    <t>Renewable CHP heat</t>
  </si>
  <si>
    <t>Methodologytier1</t>
  </si>
  <si>
    <t>Data unavailable in the timescales</t>
  </si>
  <si>
    <t>Renewableheattechnology</t>
  </si>
  <si>
    <t>Purchasedrenewableheatagreement</t>
  </si>
  <si>
    <t>Availability of data unknown</t>
  </si>
  <si>
    <t>Generator</t>
  </si>
  <si>
    <t>Air source heat pump</t>
  </si>
  <si>
    <t>Emission source not relevant to our organisation</t>
  </si>
  <si>
    <t>Welsh Government</t>
  </si>
  <si>
    <t>Heat purchased from neighbouring site</t>
  </si>
  <si>
    <t>Methodologytier12</t>
  </si>
  <si>
    <t>Ground source heat pump</t>
  </si>
  <si>
    <t>Delivered heat contract</t>
  </si>
  <si>
    <t>Regions</t>
  </si>
  <si>
    <t>Privatecarunits</t>
  </si>
  <si>
    <t>Privatecarcategory1</t>
  </si>
  <si>
    <t>Privatecarcategory2 - multiple</t>
  </si>
  <si>
    <t>Solar thermal</t>
  </si>
  <si>
    <t>Livestockunits</t>
  </si>
  <si>
    <t>Biomass boiler</t>
  </si>
  <si>
    <t>Mid Wales</t>
  </si>
  <si>
    <t>Poolcarfuel</t>
  </si>
  <si>
    <t>PoolcarSize</t>
  </si>
  <si>
    <t>Biogas boiler</t>
  </si>
  <si>
    <t>Methdologytier2</t>
  </si>
  <si>
    <t>South East Wales</t>
  </si>
  <si>
    <t>FarmlandSoilsunits</t>
  </si>
  <si>
    <t>South West Wales</t>
  </si>
  <si>
    <t>Renewableelectricitytechnology</t>
  </si>
  <si>
    <t>Purchasedrenewableelectricityagreement</t>
  </si>
  <si>
    <t>All Wales</t>
  </si>
  <si>
    <t>Wind</t>
  </si>
  <si>
    <t>Private wire</t>
  </si>
  <si>
    <t>Methodologytier23</t>
  </si>
  <si>
    <t>Solar PV</t>
  </si>
  <si>
    <t>Power purchase agreement</t>
  </si>
  <si>
    <t>Hydro</t>
  </si>
  <si>
    <t xml:space="preserve">Sleeved </t>
  </si>
  <si>
    <t>Blaenau Gwent County Borough Council</t>
  </si>
  <si>
    <t>Hirecarunits</t>
  </si>
  <si>
    <t>Hirecarcategory1</t>
  </si>
  <si>
    <t>Hirecarcategory2 - multiple</t>
  </si>
  <si>
    <t>Green tarrif</t>
  </si>
  <si>
    <t>Bridgend County Borough Council</t>
  </si>
  <si>
    <t>REGO tariff</t>
  </si>
  <si>
    <t>Methodologytier3</t>
  </si>
  <si>
    <t>Cardiff Council</t>
  </si>
  <si>
    <t>Vanfuel</t>
  </si>
  <si>
    <t>Vansize</t>
  </si>
  <si>
    <t>Biogas CHP</t>
  </si>
  <si>
    <t>Carmarthenshire County Council</t>
  </si>
  <si>
    <t>CHP plant</t>
  </si>
  <si>
    <t>Disposal routes</t>
  </si>
  <si>
    <t>Ceredigion County Council</t>
  </si>
  <si>
    <t>Swansea Council</t>
  </si>
  <si>
    <t>Biomass</t>
  </si>
  <si>
    <t>Conwy County Borough Council</t>
  </si>
  <si>
    <t>Farmlandsoils</t>
  </si>
  <si>
    <t>Denbighshire County Council</t>
  </si>
  <si>
    <t>Motorbikeunits</t>
  </si>
  <si>
    <t>Motorbikecategory1</t>
  </si>
  <si>
    <t>Motorbikecategory2 - multiple</t>
  </si>
  <si>
    <t xml:space="preserve">Industrial gases, inorganics and fertilisers (all inorganic chemicals) - 20.11/13/15      </t>
  </si>
  <si>
    <t>Flintshire County Council</t>
  </si>
  <si>
    <t xml:space="preserve">Petrochemicals - 20.14/16/17/60             </t>
  </si>
  <si>
    <t>Cyngor Gwynedd Council</t>
  </si>
  <si>
    <t>HGVsize</t>
  </si>
  <si>
    <t xml:space="preserve">Dyestuffs, agro-chemicals - 20.12/20            </t>
  </si>
  <si>
    <t>Farmland Soils</t>
  </si>
  <si>
    <t>Merthyr Tydfil County Borough Council</t>
  </si>
  <si>
    <t>Naturalgasunits</t>
  </si>
  <si>
    <t>Naturalgascategory1</t>
  </si>
  <si>
    <t>HGVfuel</t>
  </si>
  <si>
    <t>Monmouthshire County Council</t>
  </si>
  <si>
    <t>Neath Port Talbot County Borough Council</t>
  </si>
  <si>
    <t>Publictransportunits</t>
  </si>
  <si>
    <t>Publictransportcategory1</t>
  </si>
  <si>
    <t>Publictransporttaxi</t>
  </si>
  <si>
    <t>Publictransportbus</t>
  </si>
  <si>
    <t>Publictransportrail</t>
  </si>
  <si>
    <t>Publictransportferry</t>
  </si>
  <si>
    <t>Newport City Council</t>
  </si>
  <si>
    <t>Allfleetfuel</t>
  </si>
  <si>
    <t>Pembrokeshire County Council</t>
  </si>
  <si>
    <t>LPGunits</t>
  </si>
  <si>
    <t>LPGcategory1</t>
  </si>
  <si>
    <t>Poolcarsizefuel</t>
  </si>
  <si>
    <t xml:space="preserve">Glass, refractory, clay, other porcelain and ceramic, stone and abrasive products - 23.1-4/7-9   </t>
  </si>
  <si>
    <t>Powys County Council</t>
  </si>
  <si>
    <t>Torfaen County Borough Council</t>
  </si>
  <si>
    <t>Rhondda Cynon Taf County Borough Council</t>
  </si>
  <si>
    <t>Vale of Glamorgan Council</t>
  </si>
  <si>
    <t xml:space="preserve">Fabricated metal products, excl. machinery and equipment and weapons &amp; ammunition - 25.1-3/25.5-9   </t>
  </si>
  <si>
    <t>Wrexham County Borough Council</t>
  </si>
  <si>
    <t>Keroseneunits</t>
  </si>
  <si>
    <t>Kerosenecategory1</t>
  </si>
  <si>
    <t>Pembrokeshire College</t>
  </si>
  <si>
    <t>University of South Wales</t>
  </si>
  <si>
    <t>Cardiff Metropolitan University</t>
  </si>
  <si>
    <t>Equipmentfuel</t>
  </si>
  <si>
    <t>Swansea University</t>
  </si>
  <si>
    <t>Gasoilcategory1</t>
  </si>
  <si>
    <t>Vansizefuel</t>
  </si>
  <si>
    <t>Cardiff University</t>
  </si>
  <si>
    <t>Bangor University</t>
  </si>
  <si>
    <t>Aberystwyth University</t>
  </si>
  <si>
    <t>Flightshorthaul</t>
  </si>
  <si>
    <t>Dieselcategory1</t>
  </si>
  <si>
    <t>Flightunits</t>
  </si>
  <si>
    <t>Flightcategory1</t>
  </si>
  <si>
    <t>Flightdomestic</t>
  </si>
  <si>
    <t>Flightlonghaul</t>
  </si>
  <si>
    <t>Glybdwr Wrexham University</t>
  </si>
  <si>
    <t>Short haul</t>
  </si>
  <si>
    <t>Generatorfuel</t>
  </si>
  <si>
    <t>HGVsizefuel</t>
  </si>
  <si>
    <t>Long haul</t>
  </si>
  <si>
    <t>Petrolcategory1</t>
  </si>
  <si>
    <t>Waste Soils</t>
  </si>
  <si>
    <t>Poolcarunits</t>
  </si>
  <si>
    <t>Welsh Revenue Authority</t>
  </si>
  <si>
    <t>Biodieselunits</t>
  </si>
  <si>
    <t>Gridelectricitycategory1</t>
  </si>
  <si>
    <t>Centre for Digital Public Services</t>
  </si>
  <si>
    <t>Estyn</t>
  </si>
  <si>
    <t>Life Sciences Hub Wales</t>
  </si>
  <si>
    <t>Biopetrolunits</t>
  </si>
  <si>
    <t>Heatandsteamcategory1</t>
  </si>
  <si>
    <t>Vanunits</t>
  </si>
  <si>
    <t>Careers Wales</t>
  </si>
  <si>
    <t>Qualification Wales</t>
  </si>
  <si>
    <t>Social care Wales</t>
  </si>
  <si>
    <t>Grid electricity units</t>
  </si>
  <si>
    <t>Transport for Wales</t>
  </si>
  <si>
    <t>Bioenergycategory1</t>
  </si>
  <si>
    <t>HGVunits</t>
  </si>
  <si>
    <t>National Library of Wales</t>
  </si>
  <si>
    <t>Sports Council for Wales</t>
  </si>
  <si>
    <t>Heat and steam units</t>
  </si>
  <si>
    <t>Arts Council for Wales</t>
  </si>
  <si>
    <t>Natural Resources Wales</t>
  </si>
  <si>
    <t>Watercategory1</t>
  </si>
  <si>
    <t>Higher Education Funding Council for Wales</t>
  </si>
  <si>
    <t>Bioenergyunits</t>
  </si>
  <si>
    <t>Betsi Cadwaladr University Health Board</t>
  </si>
  <si>
    <t>Cardiff and Vale University Health Board</t>
  </si>
  <si>
    <t>Cwm Taf Morgannwg University Health Board</t>
  </si>
  <si>
    <t>Health Education and Improvement Wales</t>
  </si>
  <si>
    <t>Waterunits</t>
  </si>
  <si>
    <t>Biopetrolcategory1</t>
  </si>
  <si>
    <t>Hywel Dda University Health Board</t>
  </si>
  <si>
    <t xml:space="preserve">Velindre University NHS Trust </t>
  </si>
  <si>
    <t>Digital Health and Care Wales</t>
  </si>
  <si>
    <t>Biodieselcategory1</t>
  </si>
  <si>
    <t>Swansea Bay University Health Board</t>
  </si>
  <si>
    <t>Aneurin Bevan University Health Board</t>
  </si>
  <si>
    <t>Powys Teaching Health Board</t>
  </si>
  <si>
    <t>Welsh Ambulance Services NHS Trust</t>
  </si>
  <si>
    <t>Public Health Wales NHS Trust</t>
  </si>
  <si>
    <t>Email address of person responsible for this report</t>
  </si>
  <si>
    <t>Brecon Beacons National Park Authority</t>
  </si>
  <si>
    <t>Pembrokeshire Coast National Park Authority</t>
  </si>
  <si>
    <t>Snowdonia National Park Authority</t>
  </si>
  <si>
    <t>University of Wales Trinity Saint David</t>
  </si>
  <si>
    <t>Mid &amp; West Wales Fire &amp; Rescue</t>
  </si>
  <si>
    <t>Caerphilly County Borough Council CBC</t>
  </si>
  <si>
    <t>North Wales Fire &amp; Rescue</t>
  </si>
  <si>
    <t>South Wales Fire &amp; Rescue</t>
  </si>
  <si>
    <t>University or College</t>
  </si>
  <si>
    <t>Not used2</t>
  </si>
  <si>
    <t>Coalunits</t>
  </si>
  <si>
    <t>Coalcategory1</t>
  </si>
  <si>
    <t>UK electricity T&amp;D for Evs</t>
  </si>
  <si>
    <t>UK electricity for Evs</t>
  </si>
  <si>
    <t>Waste EF not including transport</t>
  </si>
  <si>
    <t>Local authority buildings</t>
  </si>
  <si>
    <t>Town Hall</t>
  </si>
  <si>
    <t>Community Centres</t>
  </si>
  <si>
    <t>Residential care homes</t>
  </si>
  <si>
    <t>Depots</t>
  </si>
  <si>
    <t>Sheltered housing</t>
  </si>
  <si>
    <t>Public buildings</t>
  </si>
  <si>
    <t>Library</t>
  </si>
  <si>
    <t>Museum</t>
  </si>
  <si>
    <t>Fire station</t>
  </si>
  <si>
    <t>Police station</t>
  </si>
  <si>
    <t>Local Government office</t>
  </si>
  <si>
    <t>Air conditioned, standard</t>
  </si>
  <si>
    <t>Schools</t>
  </si>
  <si>
    <t>Primary</t>
  </si>
  <si>
    <t>Secondary</t>
  </si>
  <si>
    <t>Special</t>
  </si>
  <si>
    <t>Secondary, with swimming pool</t>
  </si>
  <si>
    <t>Hospital</t>
  </si>
  <si>
    <t>General Acute</t>
  </si>
  <si>
    <t>Teaching/specialist</t>
  </si>
  <si>
    <t>Cottage hospital</t>
  </si>
  <si>
    <t>Education (Higher)</t>
  </si>
  <si>
    <t>Catering / bar</t>
  </si>
  <si>
    <t>Lecture room/conference facility</t>
  </si>
  <si>
    <t>Library or learning centre</t>
  </si>
  <si>
    <t>Sports and recreation</t>
  </si>
  <si>
    <t>Swimming pool</t>
  </si>
  <si>
    <t>Combined centre</t>
  </si>
  <si>
    <t>Dry sports centre (local)</t>
  </si>
  <si>
    <t>Fossil-thermal typical benchmark (kWh/m2)</t>
  </si>
  <si>
    <t>Electricity typical benchmark (kWh/m2)</t>
  </si>
  <si>
    <t>Note: Values are correct as of 20/05/2022</t>
  </si>
  <si>
    <t>17 01 07</t>
  </si>
  <si>
    <t xml:space="preserve">mixtures of concrete, bricks, tiles and ceramics other than those mentioned in 17 01 06 </t>
  </si>
  <si>
    <t>18 01 02</t>
  </si>
  <si>
    <t>Body parts and organs including blood bags and blood preserves (except 18 01 03)</t>
  </si>
  <si>
    <t>17 06 01*</t>
  </si>
  <si>
    <t>insulation materials containing asbestos</t>
  </si>
  <si>
    <t>17 03 02</t>
  </si>
  <si>
    <t>bituminous mixtures other than those mentioned in 17 03 01</t>
  </si>
  <si>
    <t>17 09 04</t>
  </si>
  <si>
    <t>mixed construction and demolition wastes other than those mentioned in 17 09 01, 17 09 02 and 17 09 03</t>
  </si>
  <si>
    <t>20 01 33*</t>
  </si>
  <si>
    <t>batteries and accumulators included in 16 06 01, 16 06 02 or 16 06 03 and unsorted batteries and accumulators containing these batteries</t>
  </si>
  <si>
    <t>17 01 02</t>
  </si>
  <si>
    <t>bricks</t>
  </si>
  <si>
    <t>18 01 03*</t>
  </si>
  <si>
    <t>wastes whose collection and disposal is subject to special requirements in order to prevent infection</t>
  </si>
  <si>
    <t>clothes</t>
  </si>
  <si>
    <t>17 01 01</t>
  </si>
  <si>
    <t>concrete</t>
  </si>
  <si>
    <t>17 06 04</t>
  </si>
  <si>
    <t>insulation materials other than those mentioned in 17 06 01 and 17 06 03</t>
  </si>
  <si>
    <t>18 01 01</t>
  </si>
  <si>
    <t>sharps (except 18 01 03)</t>
  </si>
  <si>
    <t>20 01 32</t>
  </si>
  <si>
    <t>medicines other than those mentioned in 20 01 31</t>
  </si>
  <si>
    <t>17 04 07</t>
  </si>
  <si>
    <t>mixed metals</t>
  </si>
  <si>
    <t>13 03 10*</t>
  </si>
  <si>
    <t>other insulating and heat transmission oils</t>
  </si>
  <si>
    <t>glass</t>
  </si>
  <si>
    <t>metals</t>
  </si>
  <si>
    <t>plastics</t>
  </si>
  <si>
    <t>18 01 04</t>
  </si>
  <si>
    <t>wastes whose collection and disposal is not subject to special requirements in order to prevent infection(for example dressings, plaster casts, linen, disposable clothing, diapers)</t>
  </si>
  <si>
    <t>19 12 07</t>
  </si>
  <si>
    <t>wood other than that mentioned in 19 12 06</t>
  </si>
  <si>
    <t>20 02 02</t>
  </si>
  <si>
    <t>soil and stones</t>
  </si>
  <si>
    <t>16 01 03</t>
  </si>
  <si>
    <t>end-of-life tyres</t>
  </si>
  <si>
    <t>Waste Description</t>
  </si>
  <si>
    <t>This sheet contains the following tables:</t>
  </si>
  <si>
    <t>Waste density factors</t>
  </si>
  <si>
    <t>https://www.cibse.org/Knowledge/Benchmarking</t>
  </si>
  <si>
    <t xml:space="preserve">Where your organisation has information on the estimated volume of waste collected rather than the weight, the following density factors can be used to estimate the weight.
These density conversion factors were developed by the Environment Agency for the 1998/99 commercial and industrial waste survey in England and have since been used across the UK by all of the Agencies including SEPA. The factors were derived from a number of different sources including published research, advice from the waste management industry and some original research at the time (source: https://www.sepa.org.uk/media/163323/uk-conversion-factors-for-waste.xlsx). 		</t>
  </si>
  <si>
    <r>
      <t>Total EF (kgCO</t>
    </r>
    <r>
      <rPr>
        <b/>
        <vertAlign val="subscript"/>
        <sz val="11"/>
        <color rgb="FFFFFFFF"/>
        <rFont val="Calibri"/>
        <family val="2"/>
        <scheme val="minor"/>
      </rPr>
      <t>2</t>
    </r>
    <r>
      <rPr>
        <b/>
        <sz val="11"/>
        <color rgb="FFFFFFFF"/>
        <rFont val="Calibri"/>
        <family val="2"/>
        <scheme val="minor"/>
      </rPr>
      <t>e/unit)</t>
    </r>
  </si>
  <si>
    <r>
      <t>Total emissions (kgCO</t>
    </r>
    <r>
      <rPr>
        <b/>
        <vertAlign val="subscript"/>
        <sz val="11"/>
        <color rgb="FFFFFFFF"/>
        <rFont val="Calibri"/>
        <family val="2"/>
        <scheme val="minor"/>
      </rPr>
      <t>2</t>
    </r>
    <r>
      <rPr>
        <b/>
        <sz val="11"/>
        <color rgb="FFFFFFFF"/>
        <rFont val="Calibri"/>
        <family val="2"/>
        <scheme val="minor"/>
      </rPr>
      <t>e)</t>
    </r>
  </si>
  <si>
    <r>
      <t>Emission data breakdown (kg CO</t>
    </r>
    <r>
      <rPr>
        <b/>
        <vertAlign val="subscript"/>
        <sz val="12"/>
        <color rgb="FF636363"/>
        <rFont val="Calibri"/>
        <family val="2"/>
        <scheme val="minor"/>
      </rPr>
      <t>2</t>
    </r>
    <r>
      <rPr>
        <b/>
        <sz val="12"/>
        <color rgb="FF636363"/>
        <rFont val="Calibri"/>
        <family val="2"/>
        <scheme val="minor"/>
      </rPr>
      <t>e)</t>
    </r>
  </si>
  <si>
    <t>1%</t>
  </si>
  <si>
    <t>2%</t>
  </si>
  <si>
    <t>3%</t>
  </si>
  <si>
    <t>4%</t>
  </si>
  <si>
    <t>5%</t>
  </si>
  <si>
    <t>7.5%</t>
  </si>
  <si>
    <t>10%</t>
  </si>
  <si>
    <t>12.5%</t>
  </si>
  <si>
    <t>20%</t>
  </si>
  <si>
    <t>15%</t>
  </si>
  <si>
    <t>25%</t>
  </si>
  <si>
    <r>
      <t>Emission factor (kgCO</t>
    </r>
    <r>
      <rPr>
        <b/>
        <vertAlign val="subscript"/>
        <sz val="10"/>
        <color theme="0"/>
        <rFont val="Calibri"/>
        <family val="2"/>
        <scheme val="minor"/>
      </rPr>
      <t>2</t>
    </r>
    <r>
      <rPr>
        <b/>
        <sz val="10"/>
        <color theme="0"/>
        <rFont val="Calibri"/>
        <family val="2"/>
        <scheme val="minor"/>
      </rPr>
      <t>e per £ spent)</t>
    </r>
  </si>
  <si>
    <r>
      <t>Total kg CO</t>
    </r>
    <r>
      <rPr>
        <b/>
        <vertAlign val="subscript"/>
        <sz val="10"/>
        <color theme="0"/>
        <rFont val="Arial"/>
        <family val="2"/>
      </rPr>
      <t>2</t>
    </r>
    <r>
      <rPr>
        <b/>
        <sz val="10"/>
        <color theme="0"/>
        <rFont val="Arial"/>
        <family val="2"/>
      </rPr>
      <t>e</t>
    </r>
  </si>
  <si>
    <t>SupplyChain Tier2RSD</t>
  </si>
  <si>
    <t>RenewableCHPelectricitytechnology</t>
  </si>
  <si>
    <t>RenewableCHPheattechnology</t>
  </si>
  <si>
    <t>Rounded to 3.d.p</t>
  </si>
  <si>
    <t xml:space="preserve">The source of building energy benchmarks is the Chartered Institution of Building Services (CIBSE) Energy Benchmarking tool. Organisations are free to use alternative sources of benchmark energy data but any data sources should be carefully documented, along with rationale for selection. Benchmarks for other building types are available through the tool, which can be accessed via the link below:
</t>
  </si>
  <si>
    <t>NHS Wales Shared Services Partnership</t>
  </si>
  <si>
    <t>Amgueddfa Cymru - Musuem Wales</t>
  </si>
  <si>
    <t>Local Democracy and Boundary Comission for Wales</t>
  </si>
  <si>
    <t>Audit Wales</t>
  </si>
  <si>
    <t>Development Bank of Wales</t>
  </si>
  <si>
    <t>Royal Commission</t>
  </si>
  <si>
    <t>Financial year 2022/23</t>
  </si>
  <si>
    <t>Academic year 2021/22</t>
  </si>
  <si>
    <t>F-gas</t>
  </si>
  <si>
    <t>HFC-23</t>
  </si>
  <si>
    <t>HFC-32</t>
  </si>
  <si>
    <t>HFC-41</t>
  </si>
  <si>
    <t>HFC-125</t>
  </si>
  <si>
    <t>HFC-134</t>
  </si>
  <si>
    <t>HFC-134a</t>
  </si>
  <si>
    <t>HFC-143</t>
  </si>
  <si>
    <t>HFC-143a</t>
  </si>
  <si>
    <t>HFC-152a</t>
  </si>
  <si>
    <t>HFC-227ea</t>
  </si>
  <si>
    <t>HFC-236fa</t>
  </si>
  <si>
    <t>HFC-245fa</t>
  </si>
  <si>
    <t>HFC-43-I0mee</t>
  </si>
  <si>
    <t>Perfluoromethane (PFC-14)</t>
  </si>
  <si>
    <t>Perfluoroethane (PFC-116)</t>
  </si>
  <si>
    <t>Perfluoropropane (PFC-218)</t>
  </si>
  <si>
    <t>Perfluorocyclobutane (PFC-318)</t>
  </si>
  <si>
    <t>Perfluorobutane (PFC-3-1-10)</t>
  </si>
  <si>
    <t>Perfluoropentane (PFC-4-1-12)</t>
  </si>
  <si>
    <t>Perfluorohexane (PFC-5-1-14)</t>
  </si>
  <si>
    <t>PFC-9-1-18</t>
  </si>
  <si>
    <t>Perfluorocyclopropane</t>
  </si>
  <si>
    <t>Sulphur hexafluoride (SF6)</t>
  </si>
  <si>
    <t>HFC-152</t>
  </si>
  <si>
    <t>HFC-161</t>
  </si>
  <si>
    <t>HFC-236cb</t>
  </si>
  <si>
    <t>HFC-236ea</t>
  </si>
  <si>
    <t>HFC-245ca</t>
  </si>
  <si>
    <t>HFC-365mfc</t>
  </si>
  <si>
    <t>Nitrogen trifluoride</t>
  </si>
  <si>
    <t>R401A</t>
  </si>
  <si>
    <t>R401B</t>
  </si>
  <si>
    <t>R401C</t>
  </si>
  <si>
    <t>R402A</t>
  </si>
  <si>
    <t>R402B</t>
  </si>
  <si>
    <t>R403A</t>
  </si>
  <si>
    <t>R403B</t>
  </si>
  <si>
    <t>R404A</t>
  </si>
  <si>
    <t>R405A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</si>
  <si>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</si>
  <si>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</si>
  <si>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</si>
  <si>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</si>
  <si>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</si>
  <si>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</si>
  <si>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</si>
  <si>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</si>
  <si>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</si>
  <si>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</si>
  <si>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</si>
  <si>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</si>
  <si>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</si>
  <si>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</si>
  <si>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</si>
  <si>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</si>
  <si>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</si>
  <si>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</si>
  <si>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</si>
  <si>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</si>
  <si>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</si>
  <si>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</si>
  <si>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</si>
  <si>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</si>
  <si>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</si>
  <si>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</si>
  <si>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</si>
  <si>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</si>
  <si>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</si>
  <si>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</si>
  <si>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</si>
  <si>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</si>
  <si>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</si>
  <si>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</si>
  <si>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</si>
  <si>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</si>
  <si>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</si>
  <si>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</si>
  <si>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</si>
  <si>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</si>
  <si>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</si>
  <si>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</si>
  <si>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</si>
  <si>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</si>
  <si>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</si>
  <si>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</si>
  <si>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</si>
  <si>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</si>
  <si>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</si>
  <si>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</si>
  <si>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</si>
  <si>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</si>
  <si>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</si>
  <si>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</si>
  <si>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</si>
  <si>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</si>
  <si>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</si>
  <si>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</si>
  <si>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</si>
  <si>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</si>
  <si>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</si>
  <si>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</si>
  <si>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</si>
  <si>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</si>
  <si>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</si>
  <si>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</si>
  <si>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</si>
  <si>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</si>
  <si>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R507A</t>
  </si>
  <si>
    <t>R508A</t>
  </si>
  <si>
    <t>R508B</t>
  </si>
  <si>
    <t>R509A</t>
  </si>
  <si>
    <t>R510A</t>
  </si>
  <si>
    <t>R511A</t>
  </si>
  <si>
    <t>R512A</t>
  </si>
  <si>
    <t>CFC-11/R11 = trichlorofluoromethane</t>
  </si>
  <si>
    <t>CFC-12/R12 = dichlorodifluoromethane</t>
  </si>
  <si>
    <t>CFC-13</t>
  </si>
  <si>
    <t>CFC-113</t>
  </si>
  <si>
    <t>CFC-114</t>
  </si>
  <si>
    <t>CFC-115</t>
  </si>
  <si>
    <t>Halon-1211</t>
  </si>
  <si>
    <t>Halon-1301</t>
  </si>
  <si>
    <t>Halon-2402</t>
  </si>
  <si>
    <t>Carbon tetrachloride</t>
  </si>
  <si>
    <t>Methyl bromide</t>
  </si>
  <si>
    <t>Methyl chloroform</t>
  </si>
  <si>
    <t>HCFC-22/R22 = chlorodifluoromethane</t>
  </si>
  <si>
    <t>HCFC-123</t>
  </si>
  <si>
    <t>HCFC-124</t>
  </si>
  <si>
    <t>HCFC-141b</t>
  </si>
  <si>
    <t>HCFC-142b</t>
  </si>
  <si>
    <t>HCFC-225ca</t>
  </si>
  <si>
    <t>HCFC-225cb</t>
  </si>
  <si>
    <t>HCFC-21</t>
  </si>
  <si>
    <t>HFE-125</t>
  </si>
  <si>
    <t>HFE-134</t>
  </si>
  <si>
    <t>HFE-143a</t>
  </si>
  <si>
    <t>HCFE-235da2</t>
  </si>
  <si>
    <t>HFE-245cb2</t>
  </si>
  <si>
    <t>HFE-245fa2</t>
  </si>
  <si>
    <t>HFE-254cb2</t>
  </si>
  <si>
    <t>HFE-347mcc3</t>
  </si>
  <si>
    <t>HFE-347pcf2</t>
  </si>
  <si>
    <t>HFE-356pcc3</t>
  </si>
  <si>
    <t>HFE-449sl (HFE-7100)</t>
  </si>
  <si>
    <t>HFE-569sf2 (HFE-7200)</t>
  </si>
  <si>
    <t>HFE-43-10pccc124 (H-Galden1040x)</t>
  </si>
  <si>
    <t>HFE-236ca12 (HG-10)</t>
  </si>
  <si>
    <t>HFE-338pcc13 (HG-01)</t>
  </si>
  <si>
    <t>Trifluoromethyl sulphur pentafluoride</t>
  </si>
  <si>
    <t>PFPMIE</t>
  </si>
  <si>
    <t>Dimethylether</t>
  </si>
  <si>
    <t>Methylene chloride</t>
  </si>
  <si>
    <t>Methyl chloride</t>
  </si>
  <si>
    <t>R290 = propane</t>
  </si>
  <si>
    <t>R600A = isobutane</t>
  </si>
  <si>
    <t>R600 = butane</t>
  </si>
  <si>
    <t>R601 = pentane</t>
  </si>
  <si>
    <t>R601A = isopentane</t>
  </si>
  <si>
    <t>R170 = ethane</t>
  </si>
  <si>
    <t>R1270 = propene</t>
  </si>
  <si>
    <t>Refrigerant &amp; other</t>
  </si>
  <si>
    <t>tonne.km</t>
  </si>
  <si>
    <t>Rigid &gt;17 tonnes</t>
  </si>
  <si>
    <t>All</t>
  </si>
  <si>
    <t>Waste collection</t>
  </si>
  <si>
    <t>Nitrous oxide</t>
  </si>
  <si>
    <t>Anaesthetic gas</t>
  </si>
  <si>
    <t>Isoflurane</t>
  </si>
  <si>
    <t>Desflurane</t>
  </si>
  <si>
    <t>Sevoflurane</t>
  </si>
  <si>
    <t>Othergases</t>
  </si>
  <si>
    <t>F gas</t>
  </si>
  <si>
    <t>FgasUnits</t>
  </si>
  <si>
    <t>AnaestheticgasUnits</t>
  </si>
  <si>
    <t>Supply chain - Tier 1 and Tier 2 combined</t>
  </si>
  <si>
    <t>Tier 1 &amp; 2 combined emission</t>
  </si>
  <si>
    <r>
      <t xml:space="preserve">If you wish to use a higher tier method for part of your supply chain emissions, you can record the emissions in the table below together with the equivalent spend associated with those emissions. Include brief notes about your method for calculating the emissions, or a reference to further information. 
</t>
    </r>
    <r>
      <rPr>
        <b/>
        <sz val="11"/>
        <color rgb="FF636363"/>
        <rFont val="Calibri"/>
        <family val="2"/>
        <scheme val="minor"/>
      </rPr>
      <t>DO NOT</t>
    </r>
    <r>
      <rPr>
        <sz val="11"/>
        <color rgb="FF636363"/>
        <rFont val="Calibri"/>
        <family val="2"/>
        <scheme val="minor"/>
      </rPr>
      <t xml:space="preserve"> subtract this spend from the data reported in the Tier 1 table (i.e any emissions reported in the table </t>
    </r>
    <r>
      <rPr>
        <b/>
        <sz val="11"/>
        <color rgb="FF636363"/>
        <rFont val="Calibri"/>
        <family val="2"/>
        <scheme val="minor"/>
      </rPr>
      <t>below</t>
    </r>
    <r>
      <rPr>
        <sz val="11"/>
        <color rgb="FF636363"/>
        <rFont val="Calibri"/>
        <family val="2"/>
        <scheme val="minor"/>
      </rPr>
      <t xml:space="preserve"> should also be included in the total spend for that category in the table </t>
    </r>
    <r>
      <rPr>
        <b/>
        <sz val="11"/>
        <color rgb="FF636363"/>
        <rFont val="Calibri"/>
        <family val="2"/>
        <scheme val="minor"/>
      </rPr>
      <t>above</t>
    </r>
    <r>
      <rPr>
        <sz val="11"/>
        <color rgb="FF636363"/>
        <rFont val="Calibri"/>
        <family val="2"/>
        <scheme val="minor"/>
      </rPr>
      <t>. Duplicated emissions will be reconciled when compiling the data. The 'Supply chain group' and 'SIC code' columns will automatically fill once a category has been selected in the 'Product category' column.</t>
    </r>
  </si>
  <si>
    <t>Kerosene is listed as burning oil in the conversion factors dataset</t>
  </si>
  <si>
    <t>Emission factor unit is litres rather than kWh. Converted to kWh using gross CV kWh/litre from fuel properties sheet</t>
  </si>
  <si>
    <t>50% laden</t>
  </si>
  <si>
    <t>R1234yf</t>
  </si>
  <si>
    <t>R1234ze</t>
  </si>
  <si>
    <t>There is no specific figure available, however it is known that the GWP factor is less than 1 kg CO2e</t>
  </si>
  <si>
    <t xml:space="preserve">Products of agriculture, hunting and related services         </t>
  </si>
  <si>
    <t xml:space="preserve">Products of forestry, logging and related services         </t>
  </si>
  <si>
    <t xml:space="preserve">Fish and other fishing products; aquaculture products; support services to fishing     </t>
  </si>
  <si>
    <t xml:space="preserve">Coal and lignite             </t>
  </si>
  <si>
    <t xml:space="preserve">Crude petroleum and natural gas           </t>
  </si>
  <si>
    <t xml:space="preserve">Textiles               </t>
  </si>
  <si>
    <t xml:space="preserve">Leather and related products            </t>
  </si>
  <si>
    <t>Wood and of products of wood and cork, except furniture; articles of straw and plaiting materials</t>
  </si>
  <si>
    <t xml:space="preserve">Other chemical products             </t>
  </si>
  <si>
    <t xml:space="preserve">Cement, lime, plaster and articles of concrete, cement and plaster </t>
  </si>
  <si>
    <t xml:space="preserve">Gas; distribution of gaseous fuels through mains; steam and air conditioning supply    </t>
  </si>
  <si>
    <t xml:space="preserve">Buildings and building construction works           </t>
  </si>
  <si>
    <t xml:space="preserve">Constructions and construction works for civil engineering         </t>
  </si>
  <si>
    <t xml:space="preserve">Specialised construction works             </t>
  </si>
  <si>
    <t xml:space="preserve">Rail transport services             </t>
  </si>
  <si>
    <t xml:space="preserve">Land transport services and transport services via pipelines, excluding rail transport     </t>
  </si>
  <si>
    <t xml:space="preserve">Water transport services             </t>
  </si>
  <si>
    <t xml:space="preserve">Air transport services             </t>
  </si>
  <si>
    <t xml:space="preserve">Motion picture, video and TV programme production services, sound recording &amp; music publishing   </t>
  </si>
  <si>
    <t xml:space="preserve">Programming and broadcasting services            </t>
  </si>
  <si>
    <t xml:space="preserve">Insurance and reinsurance services, except compulsory social security      </t>
  </si>
  <si>
    <t xml:space="preserve">Residential care services             </t>
  </si>
  <si>
    <t xml:space="preserve">Social work services without accommodation           </t>
  </si>
  <si>
    <t>06</t>
  </si>
  <si>
    <t>10.2 -3</t>
  </si>
  <si>
    <t>42.1-2</t>
  </si>
  <si>
    <t>65.1-2</t>
  </si>
  <si>
    <t>Vancategory1</t>
  </si>
  <si>
    <t>vanaverage</t>
  </si>
  <si>
    <t>If you purchase renewable electricity that is supplied through the UK grid, you must also include this electricity in the buildings table.</t>
  </si>
  <si>
    <r>
      <t xml:space="preserve">The Tier 1 table is based on the Defra source 'Conversion factors by SIC code 2019, updating Table 13', rounded to 3 d.p.
</t>
    </r>
    <r>
      <rPr>
        <u/>
        <sz val="11"/>
        <color rgb="FF636363"/>
        <rFont val="Calibri"/>
        <family val="2"/>
        <scheme val="minor"/>
      </rPr>
      <t xml:space="preserve">www.gov.uk/government/statistics/uks-carbon-footprint  </t>
    </r>
    <r>
      <rPr>
        <sz val="11"/>
        <color rgb="FF636363"/>
        <rFont val="Calibri"/>
        <family val="2"/>
        <scheme val="minor"/>
      </rPr>
      <t xml:space="preserve">
This table only covers indirect emissions from the supply chain and is an estimate of the indirect GHG emissions resulting from expenditure on procuring goods and services. The emission factors were calculated by the University of Leeds as an update to the dataset used previously which were factors for 2011. 
This table also includes a number of activities that are likely to be covered in your operational emissions, such as fuel use and transmission and distribution, travel and water. If you have captured that activity in the Operational emissions tab, you should remove the related expenditure from this table as otherwise you will be double counting your emissions. However, the information in this table may still be useful for a rough initial calculation of the relative importance of these activities in the first instance.
</t>
    </r>
  </si>
  <si>
    <r>
      <rPr>
        <b/>
        <sz val="11"/>
        <color rgb="FF636363"/>
        <rFont val="Calibri"/>
        <family val="2"/>
        <scheme val="minor"/>
      </rPr>
      <t xml:space="preserve">Instructions for users: </t>
    </r>
    <r>
      <rPr>
        <sz val="11"/>
        <color rgb="FF636363"/>
        <rFont val="Calibri"/>
        <family val="2"/>
        <scheme val="minor"/>
      </rPr>
      <t xml:space="preserve">
• Input information into the orange and blue cells. Grey cells should not be edited. Fill in the notes column describing the data source used and any data exclusions. 
• Identify the amount spent on different product and service groups (in actual prices in £s, including VAT).
• In Tier 1, the amount of spend is automatically multiplied by the conversion factor to get total emissions in kilograms of carbon dioxide equivalent (kg CO</t>
    </r>
    <r>
      <rPr>
        <vertAlign val="subscript"/>
        <sz val="11"/>
        <color rgb="FF636363"/>
        <rFont val="Calibri"/>
        <family val="2"/>
        <scheme val="minor"/>
      </rPr>
      <t>2</t>
    </r>
    <r>
      <rPr>
        <sz val="11"/>
        <color rgb="FF636363"/>
        <rFont val="Calibri"/>
        <family val="2"/>
        <scheme val="minor"/>
      </rPr>
      <t xml:space="preserve">e).  
• If you wish to use a higher tier (Tier 2) method for part of your supply chain emissions, you can record these in the second table below. Please include notes about your method and the amount of spend that these emissions account for. Please </t>
    </r>
    <r>
      <rPr>
        <b/>
        <sz val="11"/>
        <color rgb="FF636363"/>
        <rFont val="Calibri"/>
        <family val="2"/>
        <scheme val="minor"/>
      </rPr>
      <t>DO NOT</t>
    </r>
    <r>
      <rPr>
        <sz val="11"/>
        <color rgb="FF636363"/>
        <rFont val="Calibri"/>
        <family val="2"/>
        <scheme val="minor"/>
      </rPr>
      <t xml:space="preserve"> subtract this spend from the data reported in the Tier 1 table (i.e any emissions reported in the Tier 2 table should also be included in the total spend for that category in the Tier 1 table). Any emissions calculated by Tier 2 methods are included in column J of the Tier 1 table to provide an overall total without double counting. </t>
    </r>
  </si>
  <si>
    <t>Buildings, Fleet and Equipment</t>
  </si>
  <si>
    <t>Fleet and Equipment</t>
  </si>
  <si>
    <t>Organisational Waste</t>
  </si>
  <si>
    <t>Buildings, fleet &amp; equipment</t>
  </si>
  <si>
    <t>Introduction and School Information</t>
  </si>
  <si>
    <t>School information</t>
  </si>
  <si>
    <t>School Information</t>
  </si>
  <si>
    <t>Please provide comments on the completeness of the calculation and any significant assumptions or estimations made.</t>
  </si>
  <si>
    <r>
      <rPr>
        <b/>
        <sz val="11"/>
        <color theme="1" tint="0.499984740745262"/>
        <rFont val="Calibri"/>
        <family val="2"/>
        <scheme val="minor"/>
      </rPr>
      <t>Instructions for users</t>
    </r>
    <r>
      <rPr>
        <sz val="11"/>
        <color theme="1" tint="0.499984740745262"/>
        <rFont val="Calibri"/>
        <family val="2"/>
        <scheme val="minor"/>
      </rPr>
      <t xml:space="preserve">
• Input information into the orange and blue cells. Grey cells should not be edited.
• Activity data entered in the 'data' column should only be in units specified in the 'units' column drop down list. If your data is in units that are not included in this drop down list, you will need to convert it before entering it into this sheet (see conversion sheet)
• When completing a row, fill in the columns from left to right. The drop down lists in later columns will change to provide valid combinations based on your previous selections. 
• You can copy and paste between rows but please avoid copying data from one column to another, as this is likely to break the drop down lists. 
• Fill in the notes column with a description of the method and data source used for each row
</t>
    </r>
  </si>
  <si>
    <r>
      <rPr>
        <b/>
        <sz val="11"/>
        <color theme="1" tint="0.34998626667073579"/>
        <rFont val="Calibri"/>
        <family val="2"/>
        <scheme val="minor"/>
      </rPr>
      <t>Instructions for users</t>
    </r>
    <r>
      <rPr>
        <sz val="11"/>
        <color theme="1" tint="0.34998626667073579"/>
        <rFont val="Calibri"/>
        <family val="2"/>
        <scheme val="minor"/>
      </rPr>
      <t xml:space="preserve">
•  Input information into the orange and blue cells. Grey cells should not be edited.
•  Activity data entered in the 'data' column should only be in units specified in the 'units' column drop down list. If your data is in units that are not included in this drop down list, you will need to convert it before entering it into this sheet (see conversion sheet)
•  When completing a row, fill in the columns from left to right. The drop down lists in later columns will change to provide valid combinations based on your previous selections. 
•  You can copy and paste between rows but please avoid copying data from one column to another, as this is likely to break the drop down lists. 
• Fill in the notes column with a description of the method and data source used
</t>
    </r>
  </si>
  <si>
    <r>
      <rPr>
        <b/>
        <sz val="11"/>
        <color rgb="FF636363"/>
        <rFont val="Calibri"/>
        <family val="2"/>
        <scheme val="minor"/>
      </rPr>
      <t>Instructions for users</t>
    </r>
    <r>
      <rPr>
        <sz val="11"/>
        <color rgb="FF636363"/>
        <rFont val="Calibri"/>
        <family val="2"/>
        <scheme val="minor"/>
      </rPr>
      <t xml:space="preserve">
• Input information into the orange and blue cells. Grey cells should not be edited.
• Activity data should only be in kWh unit.  If your data is in other units, you will need to convert it before entering it into this sheet (see conversion sheet)
• When completing a row, fill in the columns from left to right. The drop down lists in later columns will change to provide valid combinations based on your previous selections. 
• You can copy and paste between rows but please avoid copying data from one column to another, as this is likely to break the drop down lists. 
• Fill in the notes column with a description of the method and data source used</t>
    </r>
  </si>
  <si>
    <t>Business Travel &amp; School Trips</t>
  </si>
  <si>
    <t>Business travel &amp; School Trips</t>
  </si>
  <si>
    <t>Reporting Period (12 months)</t>
  </si>
  <si>
    <t>School Name</t>
  </si>
  <si>
    <t>Total Emissions</t>
  </si>
  <si>
    <t>You do not need to input any information into this sheet. Cells highlighted in Yellow indicate total emissions for each source to be included in the Carbon Tracker.</t>
  </si>
  <si>
    <r>
      <rPr>
        <b/>
        <sz val="12"/>
        <color theme="1" tint="0.499984740745262"/>
        <rFont val="Calibri"/>
        <family val="2"/>
        <scheme val="minor"/>
      </rPr>
      <t>Guidance for users</t>
    </r>
    <r>
      <rPr>
        <sz val="11"/>
        <color theme="1" tint="0.499984740745262"/>
        <rFont val="Calibri"/>
        <family val="2"/>
        <scheme val="minor"/>
      </rPr>
      <t xml:space="preserve">
This sheet contains three tables across two emission groups - Buildings (Energy and Water), and Fleet and Equipment. Fleet has two methods of data entry, either the amount of fuel purchased or distance travelled. Only enter data into </t>
    </r>
    <r>
      <rPr>
        <b/>
        <u/>
        <sz val="11"/>
        <color theme="1" tint="0.499984740745262"/>
        <rFont val="Calibri"/>
        <family val="2"/>
        <scheme val="minor"/>
      </rPr>
      <t>one</t>
    </r>
    <r>
      <rPr>
        <sz val="11"/>
        <color theme="1" tint="0.499984740745262"/>
        <rFont val="Calibri"/>
        <family val="2"/>
        <scheme val="minor"/>
      </rPr>
      <t xml:space="preserve"> of these tables to avoid double-counting of emissions.
</t>
    </r>
    <r>
      <rPr>
        <b/>
        <sz val="11"/>
        <color theme="1" tint="0.499984740745262"/>
        <rFont val="Calibri"/>
        <family val="2"/>
        <scheme val="minor"/>
      </rPr>
      <t>Please see Section 7 of the Welsh Net Zero Public Sector Reporting Guide for further guidance.</t>
    </r>
    <r>
      <rPr>
        <sz val="11"/>
        <color theme="1" tint="0.499984740745262"/>
        <rFont val="Calibri"/>
        <family val="2"/>
        <scheme val="minor"/>
      </rPr>
      <t xml:space="preserve">
</t>
    </r>
  </si>
  <si>
    <r>
      <rPr>
        <b/>
        <sz val="12"/>
        <color theme="1" tint="0.499984740745262"/>
        <rFont val="Calibri"/>
        <family val="2"/>
        <scheme val="minor"/>
      </rPr>
      <t>Instructions for users</t>
    </r>
    <r>
      <rPr>
        <sz val="11"/>
        <color theme="1" tint="0.499984740745262"/>
        <rFont val="Calibri"/>
        <family val="2"/>
        <scheme val="minor"/>
      </rPr>
      <t xml:space="preserve">
• Input information into the orange and blue cells. Grey cells should not be edited.
• Activity data entered in the 'data' column should only be in units specified in the 'units' column drop down list (e.g. kWh, litres, miles, km). If your data is in units that are not included in this drop down list, you will need to convert it before entering it into this sheet (see conversion sheet)
• When completing a row, fill in the columns from left to right. The drop down lists in later columns will change to provide valid combinations based on your previous selections. 
• You can copy and paste between rows but please avoid copying data from one column to another, as this is likely to break the drop down lists. 
• Fill in the notes column with a description of the method and data source used for each row, and any other information that adds traceability to the calculation.
</t>
    </r>
  </si>
  <si>
    <r>
      <rPr>
        <b/>
        <sz val="11"/>
        <color rgb="FF636363"/>
        <rFont val="Calibri"/>
        <family val="2"/>
        <scheme val="minor"/>
      </rPr>
      <t>Guidance for users</t>
    </r>
    <r>
      <rPr>
        <sz val="11"/>
        <color rgb="FF636363"/>
        <rFont val="Calibri"/>
        <family val="2"/>
        <scheme val="minor"/>
      </rPr>
      <t xml:space="preserve">
This tab has one table for entering waste data - every effort has been made to include relevant waste types. If the waste type is not available, choose the closest match and write in the notes what waste type it is. 
The  table is for organisational waste - this is waste produced by your school in day to day operations. You can choose from a range of waste types and disposal routes (some disposal routes are not applicable for certain waste types and therefore these option combinations are not available in the drop down lists). 
Please note: if your organisation has reported organisational waste based on tonnage, you should remove expenditure on waste collection services in your supply chain data to avoid double-counting. 
</t>
    </r>
    <r>
      <rPr>
        <b/>
        <sz val="11"/>
        <color rgb="FF636363"/>
        <rFont val="Calibri"/>
        <family val="2"/>
        <scheme val="minor"/>
      </rPr>
      <t xml:space="preserve">
</t>
    </r>
  </si>
  <si>
    <r>
      <rPr>
        <b/>
        <sz val="11"/>
        <color rgb="FF636363"/>
        <rFont val="Calibri"/>
        <family val="2"/>
        <scheme val="minor"/>
      </rPr>
      <t>Guidance for users</t>
    </r>
    <r>
      <rPr>
        <sz val="11"/>
        <color rgb="FF636363"/>
        <rFont val="Calibri"/>
        <family val="2"/>
        <scheme val="minor"/>
      </rPr>
      <t xml:space="preserve">
This sheet allows users to provide information about any renewable energy that your school generates or purchases. It has two tables, one for renewables generated onsite by your school, and one for any renewable electricity or heat that your school/council purchases. Contact </t>
    </r>
    <r>
      <rPr>
        <b/>
        <sz val="11"/>
        <color rgb="FF636363"/>
        <rFont val="Calibri"/>
        <family val="2"/>
        <scheme val="minor"/>
      </rPr>
      <t>energy.unit@flintshire.gov.uk</t>
    </r>
    <r>
      <rPr>
        <sz val="11"/>
        <color rgb="FF636363"/>
        <rFont val="Calibri"/>
        <family val="2"/>
        <scheme val="minor"/>
      </rPr>
      <t xml:space="preserve"> for support and information.   
</t>
    </r>
  </si>
  <si>
    <t>This section provides a summary of carbon emissions based on data entries and given in kilogrammes of carbon dioxide equivalent (kgCO2e). To calculate emissions in tonnes of carbon dioxide equivalent (tCO2e), divide by 1000.</t>
  </si>
  <si>
    <t>Medical gas</t>
  </si>
  <si>
    <t>Entonox</t>
  </si>
  <si>
    <t>Litres</t>
  </si>
  <si>
    <t>4th February 2025</t>
  </si>
  <si>
    <t>EDUCATION/TRAINING</t>
  </si>
  <si>
    <t>85</t>
  </si>
  <si>
    <t>Education/ Training Services</t>
  </si>
  <si>
    <t>Education/Training</t>
  </si>
  <si>
    <t>Number of Employees and Students at the School</t>
  </si>
  <si>
    <t>Employee Commuting</t>
  </si>
  <si>
    <t>Business Travel, School Trips &amp; employee commuting</t>
  </si>
  <si>
    <r>
      <rPr>
        <b/>
        <sz val="11"/>
        <color rgb="FF636363"/>
        <rFont val="Calibri"/>
        <family val="2"/>
        <scheme val="minor"/>
      </rPr>
      <t xml:space="preserve">Guidance for users
Calculating Supply Chain emissions is optional. </t>
    </r>
    <r>
      <rPr>
        <sz val="11"/>
        <color rgb="FF636363"/>
        <rFont val="Calibri"/>
        <family val="2"/>
        <scheme val="minor"/>
      </rPr>
      <t>This sheet contains two tables: Tier 1 supply chain spend based estimates and Tier 2 supply chain more accurate estimates</t>
    </r>
    <r>
      <rPr>
        <b/>
        <sz val="11"/>
        <color rgb="FF636363"/>
        <rFont val="Calibri"/>
        <family val="2"/>
        <scheme val="minor"/>
      </rPr>
      <t xml:space="preserve"> based on reported carbon by a supplier. </t>
    </r>
    <r>
      <rPr>
        <sz val="11"/>
        <color rgb="FF636363"/>
        <rFont val="Calibri"/>
        <family val="2"/>
        <scheme val="minor"/>
      </rPr>
      <t xml:space="preserve">Schools should only use </t>
    </r>
    <r>
      <rPr>
        <b/>
        <sz val="11"/>
        <color rgb="FF636363"/>
        <rFont val="Calibri"/>
        <family val="2"/>
        <scheme val="minor"/>
      </rPr>
      <t>Tier 1</t>
    </r>
    <r>
      <rPr>
        <sz val="11"/>
        <color rgb="FF636363"/>
        <rFont val="Calibri"/>
        <family val="2"/>
        <scheme val="minor"/>
      </rPr>
      <t xml:space="preserve"> until a method for calculating Tier 2 is provided by Flintshire County Council.
</t>
    </r>
  </si>
  <si>
    <t>Business Travel and Employee Commuting</t>
  </si>
  <si>
    <r>
      <rPr>
        <b/>
        <sz val="11"/>
        <color rgb="FF636363"/>
        <rFont val="Calibri"/>
        <family val="2"/>
        <scheme val="minor"/>
      </rPr>
      <t>Guidance for users</t>
    </r>
    <r>
      <rPr>
        <sz val="11"/>
        <color rgb="FF636363"/>
        <rFont val="Calibri"/>
        <family val="2"/>
        <scheme val="minor"/>
      </rPr>
      <t xml:space="preserve">
This sheet contains two tables - Business Travel and School Trips, and Employee Commuting.
(School Trips have been included under Business Travel)</t>
    </r>
    <r>
      <rPr>
        <b/>
        <sz val="11"/>
        <color rgb="FF636363"/>
        <rFont val="Calibri"/>
        <family val="2"/>
        <scheme val="minor"/>
      </rPr>
      <t>.</t>
    </r>
  </si>
  <si>
    <t>Source: UK Government GHG Conversion Factors for Company Reporting 2024</t>
  </si>
  <si>
    <t>Modern inhalation anesthetics: Potent greenhouse gases in the global atmosphere</t>
  </si>
  <si>
    <t>AKA Bioethanol. Emission factor unit is GJ rather than kWh. Converted to kWh using factor of 278. No conversion unit for litres so used relationship between emission factor for kWh and litres</t>
  </si>
  <si>
    <t>BEIS factor multiplied by 7.5 working hours per day, working 5 days per week for 52 weeks less 28 days of leave.</t>
  </si>
  <si>
    <t>EF for waste only includes transport (Conversion Factors 2024: Methodology, pg.121).</t>
  </si>
  <si>
    <t>Table 52, Methodology Paper for Conversion factors 2024. Transport distances and vehicles assumptions for waste transport. Landfill - 10km (1 way) distance, average HGV tonne km 50% laden factor</t>
  </si>
  <si>
    <t>Penthrox</t>
  </si>
  <si>
    <t>penthrox is 117.7 times lower than entonox for same volume - https://emj.bmj.com/content/emermed/41/2/69.full.pdf</t>
  </si>
  <si>
    <r>
      <t xml:space="preserve">This School Carbon Calculator is based on the Welsh Public Sector Net Zero Reporting Spreadsheet and has been adapted byCarmarthenshire County Council for use by Schools. The emission factors used within this are from 2024 and can be found at  https://www.gov.uk/government/collections/government-conversion-factors-for-company-reporting.
For support using this spreadsheet, please contact </t>
    </r>
    <r>
      <rPr>
        <b/>
        <sz val="11"/>
        <color rgb="FF636363"/>
        <rFont val="Calibri"/>
        <family val="2"/>
        <scheme val="minor"/>
      </rPr>
      <t xml:space="preserve">energy@carmarthenshire.gov.uk </t>
    </r>
    <r>
      <rPr>
        <sz val="11"/>
        <color rgb="FF636363"/>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</si>
</sst>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Red]\-&quot;£&quot;#,##0.00"/>
    <numFmt numFmtId="44" formatCode="_-&quot;£&quot;* #,##0.00_-;\-&quot;£&quot;* #,##0.00_-;_-&quot;£&quot;* &quot;-&quot;??_-;_-@_-"/>
    <numFmt numFmtId="43" formatCode="_-* #,##0.00_-;\-* #,##0.00_-;_-* &quot;-&quot;??_-;_-@_-"/>
    <numFmt numFmtId="164" formatCode="&quot;£&quot;#,##0.00"/>
    <numFmt numFmtId="165" formatCode="_-* #,##0_-;\-* #,##0_-;_-* &quot;-&quot;??_-;_-@_-"/>
    <numFmt numFmtId="166" formatCode="0.0000"/>
    <numFmt numFmtId="167" formatCode="0.0"/>
    <numFmt numFmtId="168" formatCode="_-* #,##0.0_-;\-* #,##0.0_-;_-* &quot;-&quot;??_-;_-@_-"/>
    <numFmt numFmtId="169" formatCode="0.000"/>
    <numFmt numFmtId="170" formatCode="0.0%"/>
    <numFmt numFmtId="171" formatCode="0.00000"/>
    <numFmt numFmtId="172" formatCode="#,##0.000"/>
    <numFmt numFmtId="173" formatCode="_-* #,##0.00_-;\-* #,##0.00_-;_-* &quot;-&quot;?_-;_-@_-"/>
  </numFmts>
  <fonts count="68" x14ac:knownFonts="1">
    <font>
      <sz val="11"/>
      <color theme="1"/>
      <name val="Calibri"/>
      <family val="2"/>
      <scheme val="minor"/>
    </font>
    <font>
      <sz val="9"/>
      <color indexed="81"/>
      <name val="Tahoma"/>
      <family val="2"/>
    </font>
    <font>
      <b/>
      <sz val="10"/>
      <color rgb="FFFFFFFF"/>
      <name val="Calibri"/>
      <family val="2"/>
      <scheme val="minor"/>
    </font>
    <font>
      <sz val="10"/>
      <color rgb="FF636363"/>
      <name val="Calibri"/>
      <family val="2"/>
      <scheme val="minor"/>
    </font>
    <font>
      <sz val="11"/>
      <color theme="1"/>
      <name val="Calibri"/>
      <family val="2"/>
      <scheme val="minor"/>
    </font>
    <font>
      <b/>
      <vertAlign val="subscript"/>
      <sz val="10"/>
      <color rgb="FFFFFFFF"/>
      <name val="Calibri"/>
      <family val="2"/>
      <scheme val="minor"/>
    </font>
    <font>
      <i/>
      <sz val="10"/>
      <color rgb="FF636363"/>
      <name val="Calibri"/>
      <family val="2"/>
      <scheme val="minor"/>
    </font>
    <font>
      <sz val="10"/>
      <name val="Arial"/>
      <family val="2"/>
    </font>
    <font>
      <b/>
      <sz val="10"/>
      <color rgb="FF636363"/>
      <name val="Calibri"/>
      <family val="2"/>
      <scheme val="minor"/>
    </font>
    <font>
      <b/>
      <sz val="10"/>
      <color theme="0"/>
      <name val="Calibri"/>
      <family val="2"/>
      <scheme val="minor"/>
    </font>
    <font>
      <sz val="10"/>
      <name val="Calibri"/>
      <family val="2"/>
      <scheme val="minor"/>
    </font>
    <font>
      <sz val="11"/>
      <color rgb="FF636363"/>
      <name val="Calibri"/>
      <family val="2"/>
      <scheme val="minor"/>
    </font>
    <font>
      <i/>
      <sz val="10"/>
      <color rgb="FF0599C7"/>
      <name val="Calibri"/>
      <family val="2"/>
      <scheme val="minor"/>
    </font>
    <font>
      <b/>
      <sz val="12"/>
      <color rgb="FF636363"/>
      <name val="Calibri"/>
      <family val="2"/>
      <scheme val="minor"/>
    </font>
    <font>
      <b/>
      <sz val="11"/>
      <color theme="1"/>
      <name val="Calibri"/>
      <family val="2"/>
      <scheme val="minor"/>
    </font>
    <font>
      <sz val="11"/>
      <color theme="1" tint="0.499984740745262"/>
      <name val="Calibri"/>
      <family val="2"/>
      <scheme val="minor"/>
    </font>
    <font>
      <b/>
      <sz val="11"/>
      <color theme="1" tint="0.34998626667073579"/>
      <name val="Calibri"/>
      <family val="2"/>
      <scheme val="minor"/>
    </font>
    <font>
      <b/>
      <sz val="11"/>
      <color rgb="FFFFFFFF"/>
      <name val="Calibri"/>
      <family val="2"/>
      <scheme val="minor"/>
    </font>
    <font>
      <b/>
      <vertAlign val="subscript"/>
      <sz val="10"/>
      <color theme="0"/>
      <name val="Calibri"/>
      <family val="2"/>
      <scheme val="minor"/>
    </font>
    <font>
      <sz val="11"/>
      <color rgb="FFFF0000"/>
      <name val="Calibri"/>
      <family val="2"/>
      <scheme val="minor"/>
    </font>
    <font>
      <sz val="11"/>
      <name val="Calibri"/>
      <family val="2"/>
      <scheme val="minor"/>
    </font>
    <font>
      <b/>
      <sz val="14"/>
      <color theme="1"/>
      <name val="Calibri"/>
      <family val="2"/>
      <scheme val="minor"/>
    </font>
    <font>
      <b/>
      <sz val="10"/>
      <name val="Calibri"/>
      <family val="2"/>
      <scheme val="minor"/>
    </font>
    <font>
      <b/>
      <sz val="12"/>
      <color theme="1"/>
      <name val="Calibri"/>
      <family val="2"/>
      <scheme val="minor"/>
    </font>
    <font>
      <sz val="11"/>
      <color theme="0"/>
      <name val="Calibri"/>
      <family val="2"/>
      <scheme val="minor"/>
    </font>
    <font>
      <b/>
      <sz val="14"/>
      <color rgb="FF636363"/>
      <name val="Calibri"/>
      <family val="2"/>
      <scheme val="minor"/>
    </font>
    <font>
      <b/>
      <sz val="16"/>
      <color rgb="FF636363"/>
      <name val="Calibri"/>
      <family val="2"/>
      <scheme val="minor"/>
    </font>
    <font>
      <b/>
      <i/>
      <sz val="14"/>
      <color rgb="FF0599C7"/>
      <name val="Calibri"/>
      <family val="2"/>
      <scheme val="minor"/>
    </font>
    <font>
      <sz val="10"/>
      <color theme="1"/>
      <name val="Arial"/>
      <family val="2"/>
    </font>
    <font>
      <u/>
      <sz val="11"/>
      <color indexed="12"/>
      <name val="Calibri"/>
      <family val="2"/>
    </font>
    <font>
      <u/>
      <sz val="10"/>
      <color indexed="12"/>
      <name val="Arial"/>
      <family val="2"/>
    </font>
    <font>
      <i/>
      <sz val="10"/>
      <name val="Calibri"/>
      <family val="2"/>
      <scheme val="minor"/>
    </font>
    <font>
      <b/>
      <i/>
      <sz val="10"/>
      <name val="Calibri"/>
      <family val="2"/>
      <scheme val="minor"/>
    </font>
    <font>
      <sz val="11"/>
      <color rgb="FF000000"/>
      <name val="Calibri"/>
      <family val="2"/>
      <scheme val="minor"/>
    </font>
    <font>
      <b/>
      <sz val="11"/>
      <color theme="0"/>
      <name val="Calibri"/>
      <family val="2"/>
      <scheme val="minor"/>
    </font>
    <font>
      <b/>
      <sz val="11"/>
      <color rgb="FF00B0F0"/>
      <name val="Calibri"/>
      <family val="2"/>
      <scheme val="minor"/>
    </font>
    <font>
      <sz val="11"/>
      <color rgb="FF00B0F0"/>
      <name val="Calibri"/>
      <family val="2"/>
      <scheme val="minor"/>
    </font>
    <font>
      <sz val="10"/>
      <color theme="0" tint="-0.249977111117893"/>
      <name val="Calibri"/>
      <family val="2"/>
      <scheme val="minor"/>
    </font>
    <font>
      <b/>
      <sz val="11"/>
      <color rgb="FF636363"/>
      <name val="Calibri"/>
      <family val="2"/>
      <scheme val="minor"/>
    </font>
    <font>
      <vertAlign val="subscript"/>
      <sz val="11"/>
      <color rgb="FF636363"/>
      <name val="Calibri"/>
      <family val="2"/>
      <scheme val="minor"/>
    </font>
    <font>
      <b/>
      <sz val="12"/>
      <color theme="1" tint="0.499984740745262"/>
      <name val="Calibri"/>
      <family val="2"/>
      <scheme val="minor"/>
    </font>
    <font>
      <sz val="11"/>
      <color theme="2" tint="-0.499984740745262"/>
      <name val="Calibri"/>
      <family val="2"/>
      <scheme val="minor"/>
    </font>
    <font>
      <i/>
      <sz val="11"/>
      <color theme="1"/>
      <name val="Calibri"/>
      <family val="2"/>
      <scheme val="minor"/>
    </font>
    <font>
      <u/>
      <sz val="11"/>
      <color theme="10"/>
      <name val="Calibri"/>
      <family val="2"/>
      <scheme val="minor"/>
    </font>
    <font>
      <b/>
      <sz val="11"/>
      <color theme="2" tint="-0.499984740745262"/>
      <name val="Calibri"/>
      <family val="2"/>
      <scheme val="minor"/>
    </font>
    <font>
      <b/>
      <vertAlign val="superscript"/>
      <sz val="10"/>
      <color rgb="FFFFFFFF"/>
      <name val="Calibri"/>
      <family val="2"/>
      <scheme val="minor"/>
    </font>
    <font>
      <sz val="11"/>
      <color theme="1" tint="0.34998626667073579"/>
      <name val="Calibri"/>
      <family val="2"/>
      <scheme val="minor"/>
    </font>
    <font>
      <b/>
      <sz val="11"/>
      <color theme="1" tint="0.499984740745262"/>
      <name val="Calibri"/>
      <family val="2"/>
      <scheme val="minor"/>
    </font>
    <font>
      <b/>
      <sz val="14"/>
      <color theme="1" tint="0.499984740745262"/>
      <name val="Calibri"/>
      <family val="2"/>
      <scheme val="minor"/>
    </font>
    <font>
      <b/>
      <sz val="20"/>
      <color theme="1" tint="0.499984740745262"/>
      <name val="Calibri"/>
      <family val="2"/>
      <scheme val="minor"/>
    </font>
    <font>
      <u/>
      <sz val="14"/>
      <color theme="10"/>
      <name val="Calibri"/>
      <family val="2"/>
      <scheme val="minor"/>
    </font>
    <font>
      <b/>
      <vertAlign val="subscript"/>
      <sz val="11"/>
      <color rgb="FFFFFFFF"/>
      <name val="Calibri"/>
      <family val="2"/>
      <scheme val="minor"/>
    </font>
    <font>
      <b/>
      <vertAlign val="subscript"/>
      <sz val="12"/>
      <color rgb="FF636363"/>
      <name val="Calibri"/>
      <family val="2"/>
      <scheme val="minor"/>
    </font>
    <font>
      <sz val="10"/>
      <color theme="1"/>
      <name val="Calibri"/>
      <family val="2"/>
      <scheme val="minor"/>
    </font>
    <font>
      <b/>
      <sz val="11"/>
      <color rgb="FFFF0000"/>
      <name val="Calibri"/>
      <family val="2"/>
      <scheme val="minor"/>
    </font>
    <font>
      <b/>
      <vertAlign val="subscript"/>
      <sz val="10"/>
      <color theme="0"/>
      <name val="Arial"/>
      <family val="2"/>
    </font>
    <font>
      <b/>
      <sz val="10"/>
      <color theme="0"/>
      <name val="Arial"/>
      <family val="2"/>
    </font>
    <font>
      <sz val="10"/>
      <color theme="9" tint="-0.499984740745262"/>
      <name val="Arial"/>
      <family val="2"/>
    </font>
    <font>
      <i/>
      <sz val="10"/>
      <color rgb="FFFF0000"/>
      <name val="Arial"/>
      <family val="2"/>
    </font>
    <font>
      <u/>
      <sz val="10"/>
      <color theme="11"/>
      <name val="Arial"/>
      <family val="2"/>
    </font>
    <font>
      <sz val="11"/>
      <color theme="1"/>
      <name val="Arial"/>
      <family val="2"/>
    </font>
    <font>
      <sz val="10"/>
      <color theme="2" tint="-0.499984740745262"/>
      <name val="Calibri"/>
      <family val="2"/>
      <scheme val="minor"/>
    </font>
    <font>
      <sz val="9"/>
      <color theme="0" tint="-0.34998626667073579"/>
      <name val="Calibri"/>
      <family val="2"/>
      <scheme val="minor"/>
    </font>
    <font>
      <u/>
      <sz val="11"/>
      <color rgb="FF636363"/>
      <name val="Calibri"/>
      <family val="2"/>
      <scheme val="minor"/>
    </font>
    <font>
      <sz val="10"/>
      <color rgb="FFC00000"/>
      <name val="Calibri"/>
      <family val="2"/>
      <scheme val="minor"/>
    </font>
    <font>
      <sz val="11"/>
      <color theme="2" tint="-0.249977111117893"/>
      <name val="Calibri"/>
      <family val="2"/>
      <scheme val="minor"/>
    </font>
    <font>
      <b/>
      <u/>
      <sz val="11"/>
      <color theme="1" tint="0.499984740745262"/>
      <name val="Calibri"/>
      <family val="2"/>
      <scheme val="minor"/>
    </font>
    <font>
      <sz val="11"/>
      <color theme="0" tint="-0.14999847407452621"/>
      <name val="Calibri"/>
      <family val="2"/>
      <scheme val="minor"/>
    </font>
  </fonts>
  <fills count="39">
    <fill>
      <patternFill patternType="none"/>
    </fill>
    <fill>
      <patternFill patternType="gray125"/>
    </fill>
    <fill>
      <patternFill patternType="solid">
        <fgColor rgb="FFCC99FF"/>
        <bgColor indexed="64"/>
      </patternFill>
    </fill>
    <fill>
      <patternFill patternType="solid">
        <fgColor theme="7" tint="0.39997558519241921"/>
        <bgColor rgb="FF000000"/>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FFFFCC"/>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rgb="FF0599C7"/>
        <bgColor indexed="64"/>
      </patternFill>
    </fill>
    <fill>
      <patternFill patternType="solid">
        <fgColor rgb="FFF2F2F2"/>
        <bgColor indexed="64"/>
      </patternFill>
    </fill>
    <fill>
      <patternFill patternType="darkUp">
        <bgColor rgb="FFF2F2F2"/>
      </patternFill>
    </fill>
    <fill>
      <patternFill patternType="solid">
        <fgColor rgb="FF9FC3CD"/>
        <bgColor indexed="64"/>
      </patternFill>
    </fill>
    <fill>
      <patternFill patternType="solid">
        <fgColor theme="0" tint="-0.34998626667073579"/>
        <bgColor indexed="64"/>
      </patternFill>
    </fill>
    <fill>
      <patternFill patternType="solid">
        <fgColor theme="9"/>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6" tint="0.59999389629810485"/>
        <bgColor indexed="64"/>
      </patternFill>
    </fill>
    <fill>
      <patternFill patternType="lightUp">
        <bgColor theme="6" tint="0.59999389629810485"/>
      </patternFill>
    </fill>
    <fill>
      <patternFill patternType="solid">
        <fgColor rgb="FF00B050"/>
        <bgColor indexed="64"/>
      </patternFill>
    </fill>
    <fill>
      <patternFill patternType="solid">
        <fgColor theme="4"/>
        <bgColor indexed="64"/>
      </patternFill>
    </fill>
    <fill>
      <patternFill patternType="solid">
        <fgColor theme="7"/>
        <bgColor indexed="64"/>
      </patternFill>
    </fill>
    <fill>
      <patternFill patternType="solid">
        <fgColor rgb="FF70DBFC"/>
        <bgColor indexed="64"/>
      </patternFill>
    </fill>
    <fill>
      <patternFill patternType="solid">
        <fgColor theme="5" tint="0.59999389629810485"/>
        <bgColor indexed="64"/>
      </patternFill>
    </fill>
    <fill>
      <patternFill patternType="solid">
        <fgColor rgb="FFA6A6A6"/>
        <bgColor indexed="64"/>
      </patternFill>
    </fill>
    <fill>
      <patternFill patternType="darkUp">
        <bgColor theme="2" tint="-0.249977111117893"/>
      </patternFill>
    </fill>
    <fill>
      <patternFill patternType="darkUp">
        <bgColor rgb="FF9FC3CD"/>
      </patternFill>
    </fill>
    <fill>
      <patternFill patternType="solid">
        <fgColor theme="0" tint="-0.14999847407452621"/>
        <bgColor indexed="64"/>
      </patternFill>
    </fill>
    <fill>
      <patternFill patternType="solid">
        <fgColor theme="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bgColor indexed="64"/>
      </patternFill>
    </fill>
  </fills>
  <borders count="9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style="thin">
        <color theme="0"/>
      </right>
      <top style="thin">
        <color theme="0"/>
      </top>
      <bottom style="thin">
        <color theme="0"/>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thin">
        <color theme="0"/>
      </left>
      <right style="thin">
        <color theme="0"/>
      </right>
      <top style="thin">
        <color theme="0"/>
      </top>
      <bottom/>
      <diagonal/>
    </border>
    <border>
      <left style="medium">
        <color rgb="FFFFFFFF"/>
      </left>
      <right style="medium">
        <color rgb="FFFFFFFF"/>
      </right>
      <top style="medium">
        <color rgb="FFFFFFFF"/>
      </top>
      <bottom/>
      <diagonal/>
    </border>
    <border>
      <left style="medium">
        <color rgb="FFFFFFFF"/>
      </left>
      <right/>
      <top style="medium">
        <color rgb="FFFFFFFF"/>
      </top>
      <bottom style="medium">
        <color rgb="FFFFFFFF"/>
      </bottom>
      <diagonal/>
    </border>
    <border>
      <left/>
      <right style="medium">
        <color rgb="FFFFFFFF"/>
      </right>
      <top/>
      <bottom/>
      <diagonal/>
    </border>
    <border>
      <left style="thin">
        <color theme="0"/>
      </left>
      <right style="medium">
        <color theme="0"/>
      </right>
      <top style="medium">
        <color theme="1" tint="0.34998626667073579"/>
      </top>
      <bottom/>
      <diagonal/>
    </border>
    <border>
      <left style="medium">
        <color rgb="FFFFFFFF"/>
      </left>
      <right style="medium">
        <color theme="0"/>
      </right>
      <top style="medium">
        <color theme="1" tint="0.34998626667073579"/>
      </top>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medium">
        <color rgb="FFFFFFFF"/>
      </left>
      <right style="medium">
        <color theme="0"/>
      </right>
      <top style="medium">
        <color rgb="FFFFFFFF"/>
      </top>
      <bottom style="medium">
        <color rgb="FFFFFFFF"/>
      </bottom>
      <diagonal/>
    </border>
    <border>
      <left/>
      <right/>
      <top style="medium">
        <color rgb="FFFFFFFF"/>
      </top>
      <bottom style="medium">
        <color rgb="FFFFFFFF"/>
      </bottom>
      <diagonal/>
    </border>
    <border>
      <left style="medium">
        <color theme="0"/>
      </left>
      <right/>
      <top style="medium">
        <color rgb="FFFFFFFF"/>
      </top>
      <bottom style="medium">
        <color rgb="FFFFFFFF"/>
      </bottom>
      <diagonal/>
    </border>
    <border>
      <left style="medium">
        <color rgb="FFFFFFFF"/>
      </left>
      <right/>
      <top style="medium">
        <color theme="1" tint="0.34998626667073579"/>
      </top>
      <bottom/>
      <diagonal/>
    </border>
    <border>
      <left/>
      <right style="thin">
        <color theme="0"/>
      </right>
      <top style="thin">
        <color theme="0"/>
      </top>
      <bottom style="thin">
        <color theme="0"/>
      </bottom>
      <diagonal/>
    </border>
    <border>
      <left/>
      <right style="medium">
        <color rgb="FFFFFFFF"/>
      </right>
      <top style="medium">
        <color rgb="FFFFFFFF"/>
      </top>
      <bottom/>
      <diagonal/>
    </border>
    <border>
      <left style="medium">
        <color rgb="FFFFFFFF"/>
      </left>
      <right style="medium">
        <color theme="0"/>
      </right>
      <top style="medium">
        <color rgb="FFFFFFFF"/>
      </top>
      <bottom/>
      <diagonal/>
    </border>
    <border>
      <left/>
      <right/>
      <top style="medium">
        <color rgb="FFFFFFFF"/>
      </top>
      <bottom/>
      <diagonal/>
    </border>
    <border>
      <left style="medium">
        <color theme="0"/>
      </left>
      <right/>
      <top style="medium">
        <color rgb="FFFFFFFF"/>
      </top>
      <bottom/>
      <diagonal/>
    </border>
    <border>
      <left/>
      <right/>
      <top style="thin">
        <color theme="0"/>
      </top>
      <bottom style="thin">
        <color theme="0"/>
      </bottom>
      <diagonal/>
    </border>
    <border>
      <left/>
      <right style="thin">
        <color theme="0"/>
      </right>
      <top style="thin">
        <color theme="0"/>
      </top>
      <bottom/>
      <diagonal/>
    </border>
    <border>
      <left style="medium">
        <color rgb="FFFFFFFF"/>
      </left>
      <right style="medium">
        <color theme="0"/>
      </right>
      <top/>
      <bottom/>
      <diagonal/>
    </border>
    <border>
      <left style="thin">
        <color theme="0"/>
      </left>
      <right style="medium">
        <color rgb="FFFFFFFF"/>
      </right>
      <top style="medium">
        <color rgb="FFFFFFFF"/>
      </top>
      <bottom style="thin">
        <color theme="0"/>
      </bottom>
      <diagonal/>
    </border>
    <border>
      <left style="medium">
        <color rgb="FFFFFFFF"/>
      </left>
      <right style="medium">
        <color rgb="FFFFFFFF"/>
      </right>
      <top/>
      <bottom/>
      <diagonal/>
    </border>
    <border>
      <left style="medium">
        <color theme="0"/>
      </left>
      <right style="medium">
        <color theme="0"/>
      </right>
      <top style="medium">
        <color theme="0"/>
      </top>
      <bottom style="medium">
        <color theme="0"/>
      </bottom>
      <diagonal/>
    </border>
    <border>
      <left/>
      <right/>
      <top/>
      <bottom style="medium">
        <color theme="3"/>
      </bottom>
      <diagonal/>
    </border>
    <border>
      <left/>
      <right style="thin">
        <color theme="0"/>
      </right>
      <top/>
      <bottom style="thin">
        <color theme="0"/>
      </bottom>
      <diagonal/>
    </border>
    <border>
      <left style="medium">
        <color theme="0"/>
      </left>
      <right style="medium">
        <color theme="0"/>
      </right>
      <top style="medium">
        <color theme="0"/>
      </top>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thin">
        <color theme="0"/>
      </top>
      <bottom style="medium">
        <color theme="0" tint="-0.34998626667073579"/>
      </bottom>
      <diagonal/>
    </border>
    <border>
      <left style="thin">
        <color theme="0"/>
      </left>
      <right style="thin">
        <color theme="0"/>
      </right>
      <top/>
      <bottom/>
      <diagonal/>
    </border>
    <border>
      <left/>
      <right/>
      <top/>
      <bottom style="thin">
        <color theme="0"/>
      </bottom>
      <diagonal/>
    </border>
    <border>
      <left/>
      <right/>
      <top/>
      <bottom style="medium">
        <color rgb="FFFFFFFF"/>
      </bottom>
      <diagonal/>
    </border>
    <border>
      <left style="medium">
        <color theme="0"/>
      </left>
      <right style="medium">
        <color rgb="FFFFFFFF"/>
      </right>
      <top/>
      <bottom style="medium">
        <color rgb="FFFFFFFF"/>
      </bottom>
      <diagonal/>
    </border>
    <border>
      <left style="medium">
        <color theme="0"/>
      </left>
      <right style="medium">
        <color rgb="FFFFFFFF"/>
      </right>
      <top style="medium">
        <color theme="1" tint="0.34998626667073579"/>
      </top>
      <bottom style="medium">
        <color rgb="FFFFFFFF"/>
      </bottom>
      <diagonal/>
    </border>
    <border>
      <left style="medium">
        <color rgb="FFFFFFFF"/>
      </left>
      <right/>
      <top/>
      <bottom style="medium">
        <color rgb="FFFFFFFF"/>
      </bottom>
      <diagonal/>
    </border>
    <border>
      <left style="medium">
        <color rgb="FFFFFFFF"/>
      </left>
      <right style="thin">
        <color theme="0"/>
      </right>
      <top style="medium">
        <color rgb="FFFFFFFF"/>
      </top>
      <bottom style="medium">
        <color rgb="FFFFFFFF"/>
      </bottom>
      <diagonal/>
    </border>
    <border>
      <left/>
      <right/>
      <top style="thin">
        <color theme="0"/>
      </top>
      <bottom style="medium">
        <color rgb="FFFFFFFF"/>
      </bottom>
      <diagonal/>
    </border>
    <border>
      <left style="thin">
        <color theme="0"/>
      </left>
      <right/>
      <top style="thin">
        <color theme="0"/>
      </top>
      <bottom/>
      <diagonal/>
    </border>
    <border>
      <left style="thin">
        <color theme="0"/>
      </left>
      <right/>
      <top/>
      <bottom style="thin">
        <color theme="0"/>
      </bottom>
      <diagonal/>
    </border>
    <border>
      <left/>
      <right style="medium">
        <color rgb="FFFFFFFF"/>
      </right>
      <top style="medium">
        <color rgb="FFFFFFFF"/>
      </top>
      <bottom style="thin">
        <color theme="0"/>
      </bottom>
      <diagonal/>
    </border>
    <border>
      <left style="thin">
        <color theme="0"/>
      </left>
      <right style="medium">
        <color theme="0"/>
      </right>
      <top/>
      <bottom style="thin">
        <color theme="0"/>
      </bottom>
      <diagonal/>
    </border>
    <border>
      <left style="thin">
        <color theme="0"/>
      </left>
      <right style="medium">
        <color theme="0"/>
      </right>
      <top style="thin">
        <color theme="0"/>
      </top>
      <bottom style="thin">
        <color theme="0"/>
      </bottom>
      <diagonal/>
    </border>
    <border>
      <left style="medium">
        <color theme="0"/>
      </left>
      <right style="medium">
        <color theme="0"/>
      </right>
      <top style="medium">
        <color theme="0"/>
      </top>
      <bottom style="thin">
        <color theme="0"/>
      </bottom>
      <diagonal/>
    </border>
    <border>
      <left style="medium">
        <color theme="0"/>
      </left>
      <right style="medium">
        <color theme="0"/>
      </right>
      <top style="thin">
        <color theme="0"/>
      </top>
      <bottom style="thin">
        <color theme="0"/>
      </bottom>
      <diagonal/>
    </border>
    <border>
      <left style="medium">
        <color rgb="FFFFFFFF"/>
      </left>
      <right/>
      <top/>
      <bottom/>
      <diagonal/>
    </border>
    <border>
      <left style="medium">
        <color theme="0"/>
      </left>
      <right style="medium">
        <color theme="0"/>
      </right>
      <top/>
      <bottom/>
      <diagonal/>
    </border>
    <border>
      <left style="medium">
        <color theme="0"/>
      </left>
      <right/>
      <top/>
      <bottom/>
      <diagonal/>
    </border>
    <border>
      <left style="thin">
        <color theme="0"/>
      </left>
      <right style="medium">
        <color theme="0"/>
      </right>
      <top/>
      <bottom/>
      <diagonal/>
    </border>
    <border>
      <left style="medium">
        <color theme="0"/>
      </left>
      <right style="medium">
        <color theme="0"/>
      </right>
      <top/>
      <bottom style="medium">
        <color theme="0"/>
      </bottom>
      <diagonal/>
    </border>
    <border>
      <left style="thin">
        <color theme="0"/>
      </left>
      <right/>
      <top style="thin">
        <color theme="0"/>
      </top>
      <bottom style="medium">
        <color theme="0" tint="-0.34998626667073579"/>
      </bottom>
      <diagonal/>
    </border>
    <border>
      <left/>
      <right/>
      <top style="thin">
        <color theme="0"/>
      </top>
      <bottom/>
      <diagonal/>
    </border>
    <border>
      <left style="thin">
        <color theme="0"/>
      </left>
      <right style="thin">
        <color theme="0"/>
      </right>
      <top style="thin">
        <color theme="0"/>
      </top>
      <bottom style="medium">
        <color theme="0"/>
      </bottom>
      <diagonal/>
    </border>
    <border>
      <left style="medium">
        <color rgb="FFFFFFFF"/>
      </left>
      <right style="medium">
        <color rgb="FFFFFFFF"/>
      </right>
      <top style="medium">
        <color rgb="FFFFFFFF"/>
      </top>
      <bottom style="medium">
        <color theme="1" tint="0.34998626667073579"/>
      </bottom>
      <diagonal/>
    </border>
    <border>
      <left style="medium">
        <color rgb="FFFFFFFF"/>
      </left>
      <right/>
      <top style="thin">
        <color theme="0"/>
      </top>
      <bottom style="medium">
        <color rgb="FFFFFFFF"/>
      </bottom>
      <diagonal/>
    </border>
    <border>
      <left/>
      <right style="thin">
        <color theme="0"/>
      </right>
      <top style="thin">
        <color theme="0"/>
      </top>
      <bottom style="medium">
        <color rgb="FFFFFFFF"/>
      </bottom>
      <diagonal/>
    </border>
    <border>
      <left style="thin">
        <color theme="0"/>
      </left>
      <right/>
      <top style="thin">
        <color theme="0"/>
      </top>
      <bottom style="medium">
        <color rgb="FFFFFFFF"/>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medium">
        <color rgb="FFFFFFFF"/>
      </bottom>
      <diagonal/>
    </border>
    <border>
      <left style="thin">
        <color theme="0"/>
      </left>
      <right style="thin">
        <color theme="0"/>
      </right>
      <top/>
      <bottom style="medium">
        <color rgb="FFFFFFFF"/>
      </bottom>
      <diagonal/>
    </border>
    <border>
      <left/>
      <right/>
      <top style="medium">
        <color rgb="FFFFFFFF"/>
      </top>
      <bottom style="thin">
        <color theme="0"/>
      </bottom>
      <diagonal/>
    </border>
    <border>
      <left style="thin">
        <color theme="0"/>
      </left>
      <right style="thin">
        <color theme="0"/>
      </right>
      <top/>
      <bottom style="medium">
        <color theme="0"/>
      </bottom>
      <diagonal/>
    </border>
    <border>
      <left style="thin">
        <color theme="0"/>
      </left>
      <right style="medium">
        <color rgb="FFFFFFFF"/>
      </right>
      <top style="medium">
        <color theme="1" tint="0.34998626667073579"/>
      </top>
      <bottom style="thin">
        <color theme="0"/>
      </bottom>
      <diagonal/>
    </border>
    <border>
      <left style="thin">
        <color theme="0"/>
      </left>
      <right style="medium">
        <color rgb="FFFFFFFF"/>
      </right>
      <top style="medium">
        <color rgb="FFFFFFFF"/>
      </top>
      <bottom style="medium">
        <color theme="1" tint="0.34998626667073579"/>
      </bottom>
      <diagonal/>
    </border>
    <border>
      <left style="thin">
        <color theme="0"/>
      </left>
      <right style="medium">
        <color rgb="FFFFFFFF"/>
      </right>
      <top style="thin">
        <color theme="0"/>
      </top>
      <bottom style="medium">
        <color rgb="FFFFFFFF"/>
      </bottom>
      <diagonal/>
    </border>
    <border>
      <left style="medium">
        <color rgb="FFFFFFFF"/>
      </left>
      <right style="medium">
        <color theme="0"/>
      </right>
      <top style="medium">
        <color rgb="FFFFFFFF"/>
      </top>
      <bottom style="medium">
        <color theme="1" tint="0.34998626667073579"/>
      </bottom>
      <diagonal/>
    </border>
    <border>
      <left style="medium">
        <color theme="0"/>
      </left>
      <right style="medium">
        <color theme="0"/>
      </right>
      <top style="thin">
        <color theme="0"/>
      </top>
      <bottom style="medium">
        <color theme="0"/>
      </bottom>
      <diagonal/>
    </border>
    <border>
      <left style="thin">
        <color theme="0"/>
      </left>
      <right/>
      <top style="medium">
        <color theme="0" tint="-0.34998626667073579"/>
      </top>
      <bottom style="thin">
        <color theme="0"/>
      </bottom>
      <diagonal/>
    </border>
    <border>
      <left/>
      <right/>
      <top style="medium">
        <color theme="0" tint="-0.34998626667073579"/>
      </top>
      <bottom style="thin">
        <color theme="0"/>
      </bottom>
      <diagonal/>
    </border>
    <border>
      <left/>
      <right style="thin">
        <color theme="0"/>
      </right>
      <top style="medium">
        <color theme="0" tint="-0.34998626667073579"/>
      </top>
      <bottom style="thin">
        <color theme="0"/>
      </bottom>
      <diagonal/>
    </border>
    <border>
      <left/>
      <right/>
      <top style="thin">
        <color theme="0"/>
      </top>
      <bottom style="medium">
        <color theme="0" tint="-0.34998626667073579"/>
      </bottom>
      <diagonal/>
    </border>
    <border>
      <left/>
      <right style="thin">
        <color theme="0"/>
      </right>
      <top style="thin">
        <color theme="0"/>
      </top>
      <bottom style="medium">
        <color theme="0" tint="-0.34998626667073579"/>
      </bottom>
      <diagonal/>
    </border>
    <border>
      <left style="thin">
        <color theme="0"/>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thin">
        <color theme="0"/>
      </right>
      <top style="medium">
        <color theme="0" tint="-0.34998626667073579"/>
      </top>
      <bottom style="medium">
        <color theme="0" tint="-0.34998626667073579"/>
      </bottom>
      <diagonal/>
    </border>
    <border>
      <left style="thin">
        <color theme="0"/>
      </left>
      <right/>
      <top/>
      <bottom style="medium">
        <color theme="0" tint="-0.34998626667073579"/>
      </bottom>
      <diagonal/>
    </border>
    <border>
      <left/>
      <right/>
      <top/>
      <bottom style="medium">
        <color theme="0" tint="-0.34998626667073579"/>
      </bottom>
      <diagonal/>
    </border>
  </borders>
  <cellStyleXfs count="37">
    <xf numFmtId="0" fontId="0" fillId="0" borderId="0"/>
    <xf numFmtId="9" fontId="4" fillId="0" borderId="0" applyFont="0" applyFill="0" applyBorder="0" applyAlignment="0" applyProtection="0"/>
    <xf numFmtId="0" fontId="7" fillId="0" borderId="0"/>
    <xf numFmtId="43" fontId="4" fillId="0" borderId="0" applyFont="0" applyFill="0" applyBorder="0" applyAlignment="0" applyProtection="0"/>
    <xf numFmtId="0" fontId="28" fillId="0" borderId="0"/>
    <xf numFmtId="0" fontId="29" fillId="0" borderId="0" applyNumberFormat="0" applyFill="0" applyBorder="0" applyProtection="0">
      <alignment vertical="top"/>
      <protection locked="0"/>
    </xf>
    <xf numFmtId="44" fontId="4" fillId="0" borderId="0" applyFont="0" applyFill="0" applyBorder="0" applyAlignment="0" applyProtection="0"/>
    <xf numFmtId="43" fontId="4" fillId="0" borderId="0" applyFont="0" applyFill="0" applyBorder="0" applyAlignment="0" applyProtection="0"/>
    <xf numFmtId="0" fontId="30" fillId="0" borderId="0" applyNumberFormat="0" applyFill="0" applyBorder="0" applyProtection="0">
      <alignment vertical="top"/>
      <protection locked="0"/>
    </xf>
    <xf numFmtId="43" fontId="4" fillId="0" borderId="0" applyFont="0" applyFill="0" applyBorder="0" applyAlignment="0" applyProtection="0"/>
    <xf numFmtId="0" fontId="43" fillId="0" borderId="0" applyNumberFormat="0" applyFill="0" applyBorder="0" applyAlignment="0" applyProtection="0"/>
    <xf numFmtId="0" fontId="7" fillId="2" borderId="1" applyNumberFormat="0" applyAlignment="0" applyProtection="0"/>
    <xf numFmtId="0" fontId="57" fillId="3" borderId="2" applyNumberFormat="0" applyProtection="0">
      <alignment vertical="center"/>
    </xf>
    <xf numFmtId="43" fontId="28" fillId="0" borderId="0" applyFont="0" applyFill="0" applyBorder="0" applyAlignment="0" applyProtection="0"/>
    <xf numFmtId="43" fontId="28" fillId="0" borderId="0" applyFon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7" fillId="4" borderId="3" applyNumberFormat="0" applyBorder="0" applyAlignment="0" applyProtection="0"/>
    <xf numFmtId="0" fontId="7" fillId="5" borderId="0">
      <alignment vertical="center"/>
    </xf>
    <xf numFmtId="0" fontId="7" fillId="6" borderId="4" applyNumberFormat="0" applyAlignment="0" applyProtection="0"/>
    <xf numFmtId="0" fontId="60" fillId="0" borderId="0"/>
    <xf numFmtId="0" fontId="28" fillId="7" borderId="5" applyNumberFormat="0" applyFont="0" applyAlignment="0" applyProtection="0"/>
    <xf numFmtId="0" fontId="56" fillId="8" borderId="6" applyNumberFormat="0" applyAlignment="0" applyProtection="0"/>
    <xf numFmtId="9" fontId="60" fillId="0" borderId="0" applyFont="0" applyFill="0" applyBorder="0" applyAlignment="0" applyProtection="0"/>
    <xf numFmtId="0" fontId="7" fillId="9" borderId="7" applyNumberFormat="0" applyProtection="0">
      <alignment vertical="center"/>
    </xf>
    <xf numFmtId="0" fontId="56" fillId="10"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cellStyleXfs>
  <cellXfs count="388">
    <xf numFmtId="0" fontId="0" fillId="0" borderId="0" xfId="0"/>
    <xf numFmtId="0" fontId="0" fillId="0" borderId="8" xfId="0" applyBorder="1"/>
    <xf numFmtId="0" fontId="2" fillId="11" borderId="9" xfId="0" applyFont="1" applyFill="1" applyBorder="1" applyAlignment="1">
      <alignment vertical="center" wrapText="1"/>
    </xf>
    <xf numFmtId="0" fontId="2" fillId="11" borderId="10" xfId="0" applyFont="1" applyFill="1" applyBorder="1" applyAlignment="1">
      <alignment vertical="center" wrapText="1"/>
    </xf>
    <xf numFmtId="0" fontId="3" fillId="12" borderId="11" xfId="0" applyFont="1" applyFill="1" applyBorder="1" applyAlignment="1">
      <alignment vertical="center" wrapText="1"/>
    </xf>
    <xf numFmtId="0" fontId="3" fillId="12" borderId="12" xfId="0" applyFont="1" applyFill="1" applyBorder="1" applyAlignment="1">
      <alignment vertical="center" wrapText="1"/>
    </xf>
    <xf numFmtId="0" fontId="3" fillId="13" borderId="11" xfId="0" applyFont="1" applyFill="1" applyBorder="1" applyAlignment="1">
      <alignment vertical="center" wrapText="1"/>
    </xf>
    <xf numFmtId="0" fontId="0" fillId="0" borderId="13" xfId="0" applyBorder="1"/>
    <xf numFmtId="0" fontId="2" fillId="11" borderId="12" xfId="0" applyFont="1" applyFill="1" applyBorder="1" applyAlignment="1">
      <alignment horizontal="center" vertical="center" wrapText="1"/>
    </xf>
    <xf numFmtId="0" fontId="0" fillId="0" borderId="0" xfId="0" applyAlignment="1">
      <alignment horizontal="left" vertical="top" wrapText="1"/>
    </xf>
    <xf numFmtId="0" fontId="14" fillId="0" borderId="8" xfId="0" applyFont="1" applyBorder="1"/>
    <xf numFmtId="0" fontId="2" fillId="11" borderId="14" xfId="0" applyFont="1" applyFill="1" applyBorder="1" applyAlignment="1">
      <alignment vertical="center" wrapText="1"/>
    </xf>
    <xf numFmtId="165" fontId="10" fillId="14" borderId="10" xfId="3" applyNumberFormat="1" applyFont="1" applyFill="1" applyBorder="1" applyAlignment="1">
      <alignment vertical="center" wrapText="1"/>
    </xf>
    <xf numFmtId="0" fontId="19" fillId="0" borderId="8" xfId="0" applyFont="1" applyBorder="1"/>
    <xf numFmtId="0" fontId="19" fillId="0" borderId="8" xfId="0" applyFont="1" applyBorder="1" applyAlignment="1">
      <alignment vertical="top"/>
    </xf>
    <xf numFmtId="0" fontId="2" fillId="11" borderId="15" xfId="0" applyFont="1" applyFill="1" applyBorder="1" applyAlignment="1">
      <alignment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vertical="center" wrapText="1"/>
    </xf>
    <xf numFmtId="0" fontId="3" fillId="12" borderId="10" xfId="0" applyFont="1" applyFill="1" applyBorder="1" applyAlignment="1">
      <alignment vertical="center" wrapText="1"/>
    </xf>
    <xf numFmtId="0" fontId="3" fillId="12" borderId="16" xfId="0" applyFont="1" applyFill="1" applyBorder="1" applyAlignment="1">
      <alignment vertical="center" wrapText="1"/>
    </xf>
    <xf numFmtId="0" fontId="8" fillId="12" borderId="17" xfId="0" applyFont="1" applyFill="1" applyBorder="1" applyAlignment="1">
      <alignment vertical="center" wrapText="1"/>
    </xf>
    <xf numFmtId="165" fontId="22" fillId="14" borderId="18" xfId="3" applyNumberFormat="1" applyFont="1" applyFill="1" applyBorder="1" applyAlignment="1">
      <alignment vertical="center" wrapText="1"/>
    </xf>
    <xf numFmtId="49" fontId="0" fillId="0" borderId="8" xfId="0" applyNumberFormat="1" applyBorder="1"/>
    <xf numFmtId="0" fontId="23" fillId="0" borderId="8" xfId="0" applyFont="1" applyBorder="1"/>
    <xf numFmtId="0" fontId="3" fillId="12" borderId="11" xfId="0" applyFont="1" applyFill="1" applyBorder="1" applyAlignment="1">
      <alignment horizontal="center" vertical="center" wrapText="1"/>
    </xf>
    <xf numFmtId="0" fontId="2" fillId="11" borderId="9" xfId="0" applyFont="1" applyFill="1" applyBorder="1" applyAlignment="1">
      <alignment horizontal="center" textRotation="90" wrapText="1"/>
    </xf>
    <xf numFmtId="0" fontId="0" fillId="0" borderId="19" xfId="0" applyBorder="1"/>
    <xf numFmtId="0" fontId="0" fillId="0" borderId="20" xfId="0" applyBorder="1"/>
    <xf numFmtId="0" fontId="17" fillId="11" borderId="9" xfId="0" applyFont="1" applyFill="1" applyBorder="1" applyAlignment="1">
      <alignment horizontal="center" vertical="center" wrapText="1"/>
    </xf>
    <xf numFmtId="0" fontId="0" fillId="15" borderId="9" xfId="0" applyFill="1" applyBorder="1"/>
    <xf numFmtId="165" fontId="0" fillId="15" borderId="9" xfId="3" applyNumberFormat="1" applyFont="1" applyFill="1" applyBorder="1"/>
    <xf numFmtId="0" fontId="27" fillId="0" borderId="0" xfId="0" applyFont="1" applyAlignment="1">
      <alignment vertical="center"/>
    </xf>
    <xf numFmtId="43" fontId="0" fillId="15" borderId="9" xfId="3" applyFont="1" applyFill="1" applyBorder="1"/>
    <xf numFmtId="0" fontId="2" fillId="11" borderId="11" xfId="0" applyFont="1" applyFill="1" applyBorder="1" applyAlignment="1">
      <alignment horizontal="left" textRotation="90" wrapText="1"/>
    </xf>
    <xf numFmtId="0" fontId="3" fillId="12" borderId="12" xfId="0" applyFont="1" applyFill="1" applyBorder="1" applyAlignment="1">
      <alignment horizontal="center" vertical="center" wrapText="1"/>
    </xf>
    <xf numFmtId="0" fontId="24" fillId="0" borderId="8" xfId="0" applyFont="1" applyBorder="1"/>
    <xf numFmtId="0" fontId="23" fillId="16" borderId="8" xfId="0" applyFont="1" applyFill="1" applyBorder="1"/>
    <xf numFmtId="0" fontId="33" fillId="0" borderId="9" xfId="0" applyFont="1" applyBorder="1" applyAlignment="1">
      <alignment vertical="center"/>
    </xf>
    <xf numFmtId="0" fontId="33" fillId="0" borderId="11" xfId="0" applyFont="1" applyBorder="1" applyAlignment="1">
      <alignment vertical="center"/>
    </xf>
    <xf numFmtId="0" fontId="25" fillId="0" borderId="8" xfId="0" applyFont="1" applyBorder="1"/>
    <xf numFmtId="0" fontId="13" fillId="0" borderId="8" xfId="0" applyFont="1" applyBorder="1"/>
    <xf numFmtId="0" fontId="17" fillId="11" borderId="10" xfId="0" applyFont="1" applyFill="1" applyBorder="1" applyAlignment="1">
      <alignment horizontal="center" vertical="center" wrapText="1"/>
    </xf>
    <xf numFmtId="165" fontId="0" fillId="15" borderId="14" xfId="3" applyNumberFormat="1" applyFont="1" applyFill="1" applyBorder="1"/>
    <xf numFmtId="0" fontId="0" fillId="15" borderId="14" xfId="0" applyFill="1" applyBorder="1"/>
    <xf numFmtId="0" fontId="0" fillId="17" borderId="8" xfId="0" applyFill="1" applyBorder="1"/>
    <xf numFmtId="0" fontId="14" fillId="17" borderId="8" xfId="0" applyFont="1" applyFill="1" applyBorder="1"/>
    <xf numFmtId="0" fontId="0" fillId="17" borderId="20" xfId="0" applyFill="1" applyBorder="1"/>
    <xf numFmtId="0" fontId="19" fillId="0" borderId="13" xfId="0" applyFont="1" applyBorder="1"/>
    <xf numFmtId="0" fontId="2" fillId="17" borderId="10" xfId="0" applyFont="1" applyFill="1" applyBorder="1" applyAlignment="1">
      <alignment horizontal="center" vertical="center" wrapText="1"/>
    </xf>
    <xf numFmtId="165" fontId="10" fillId="17" borderId="10" xfId="3" applyNumberFormat="1" applyFont="1" applyFill="1" applyBorder="1" applyAlignment="1">
      <alignment vertical="center" wrapText="1"/>
    </xf>
    <xf numFmtId="165" fontId="10" fillId="17" borderId="21" xfId="3" applyNumberFormat="1" applyFont="1" applyFill="1" applyBorder="1" applyAlignment="1">
      <alignment vertical="center" wrapText="1"/>
    </xf>
    <xf numFmtId="165" fontId="22" fillId="17" borderId="22" xfId="3" applyNumberFormat="1" applyFont="1" applyFill="1" applyBorder="1" applyAlignment="1">
      <alignment vertical="center" wrapText="1"/>
    </xf>
    <xf numFmtId="165" fontId="31" fillId="17" borderId="23" xfId="3" applyNumberFormat="1" applyFont="1" applyFill="1" applyBorder="1" applyAlignment="1">
      <alignment horizontal="center" vertical="center" wrapText="1"/>
    </xf>
    <xf numFmtId="165" fontId="22" fillId="14" borderId="24" xfId="3" applyNumberFormat="1" applyFont="1" applyFill="1" applyBorder="1" applyAlignment="1">
      <alignment vertical="center" wrapText="1"/>
    </xf>
    <xf numFmtId="0" fontId="0" fillId="0" borderId="25" xfId="0" applyBorder="1"/>
    <xf numFmtId="165" fontId="10" fillId="17" borderId="26" xfId="3" applyNumberFormat="1" applyFont="1" applyFill="1" applyBorder="1" applyAlignment="1">
      <alignment vertical="center" wrapText="1"/>
    </xf>
    <xf numFmtId="165" fontId="10" fillId="17" borderId="27" xfId="3" applyNumberFormat="1" applyFont="1" applyFill="1" applyBorder="1" applyAlignment="1">
      <alignment vertical="center" wrapText="1"/>
    </xf>
    <xf numFmtId="165" fontId="22" fillId="17" borderId="28" xfId="3" applyNumberFormat="1" applyFont="1" applyFill="1" applyBorder="1" applyAlignment="1">
      <alignment vertical="center" wrapText="1"/>
    </xf>
    <xf numFmtId="165" fontId="31" fillId="17" borderId="29" xfId="3" applyNumberFormat="1" applyFont="1" applyFill="1" applyBorder="1" applyAlignment="1">
      <alignment horizontal="center" vertical="center" wrapText="1"/>
    </xf>
    <xf numFmtId="165" fontId="10" fillId="17" borderId="0" xfId="3" applyNumberFormat="1" applyFont="1" applyFill="1" applyBorder="1" applyAlignment="1">
      <alignment vertical="center" wrapText="1"/>
    </xf>
    <xf numFmtId="165" fontId="22" fillId="17" borderId="0" xfId="3" applyNumberFormat="1" applyFont="1" applyFill="1" applyBorder="1" applyAlignment="1">
      <alignment vertical="center" wrapText="1"/>
    </xf>
    <xf numFmtId="165" fontId="31" fillId="17" borderId="0" xfId="3" applyNumberFormat="1" applyFont="1" applyFill="1" applyBorder="1" applyAlignment="1">
      <alignment horizontal="center" vertical="center" wrapText="1"/>
    </xf>
    <xf numFmtId="0" fontId="0" fillId="17" borderId="13" xfId="0" applyFill="1" applyBorder="1"/>
    <xf numFmtId="0" fontId="0" fillId="17" borderId="0" xfId="0" applyFill="1"/>
    <xf numFmtId="0" fontId="20" fillId="0" borderId="8" xfId="0" applyFont="1" applyBorder="1"/>
    <xf numFmtId="0" fontId="2" fillId="0" borderId="12" xfId="0" applyFont="1" applyBorder="1" applyAlignment="1">
      <alignment horizontal="center" vertical="center" wrapText="1"/>
    </xf>
    <xf numFmtId="165" fontId="10" fillId="0" borderId="10" xfId="3" applyNumberFormat="1" applyFont="1" applyFill="1" applyBorder="1" applyAlignment="1">
      <alignment vertical="center" wrapText="1"/>
    </xf>
    <xf numFmtId="165" fontId="31" fillId="0" borderId="10" xfId="3" applyNumberFormat="1" applyFont="1" applyFill="1" applyBorder="1" applyAlignment="1">
      <alignment vertical="center" wrapText="1"/>
    </xf>
    <xf numFmtId="0" fontId="0" fillId="0" borderId="30" xfId="0" applyBorder="1"/>
    <xf numFmtId="0" fontId="0" fillId="0" borderId="31" xfId="0" applyBorder="1"/>
    <xf numFmtId="165" fontId="22" fillId="0" borderId="32" xfId="3" applyNumberFormat="1" applyFont="1" applyFill="1" applyBorder="1" applyAlignment="1">
      <alignment vertical="center" wrapText="1"/>
    </xf>
    <xf numFmtId="165" fontId="31" fillId="0" borderId="33" xfId="3" applyNumberFormat="1" applyFont="1" applyFill="1" applyBorder="1" applyAlignment="1">
      <alignment vertical="center" wrapText="1"/>
    </xf>
    <xf numFmtId="0" fontId="0" fillId="18" borderId="8" xfId="0" applyFill="1" applyBorder="1"/>
    <xf numFmtId="0" fontId="14" fillId="18" borderId="8" xfId="0" applyFont="1" applyFill="1" applyBorder="1"/>
    <xf numFmtId="0" fontId="35" fillId="17" borderId="0" xfId="0" applyFont="1" applyFill="1"/>
    <xf numFmtId="0" fontId="36" fillId="17" borderId="0" xfId="0" applyFont="1" applyFill="1"/>
    <xf numFmtId="0" fontId="2" fillId="11" borderId="15" xfId="0" applyFont="1" applyFill="1" applyBorder="1" applyAlignment="1">
      <alignment vertical="top" wrapText="1"/>
    </xf>
    <xf numFmtId="0" fontId="23" fillId="19" borderId="8" xfId="0" applyFont="1" applyFill="1" applyBorder="1"/>
    <xf numFmtId="0" fontId="0" fillId="19" borderId="8" xfId="0" applyFill="1" applyBorder="1"/>
    <xf numFmtId="0" fontId="35" fillId="17" borderId="0" xfId="0" applyFont="1" applyFill="1" applyAlignment="1">
      <alignment wrapText="1"/>
    </xf>
    <xf numFmtId="0" fontId="19" fillId="17" borderId="0" xfId="0" applyFont="1" applyFill="1"/>
    <xf numFmtId="165" fontId="37" fillId="17" borderId="10" xfId="3" applyNumberFormat="1" applyFont="1" applyFill="1" applyBorder="1" applyAlignment="1">
      <alignment vertical="center"/>
    </xf>
    <xf numFmtId="0" fontId="17" fillId="11" borderId="12" xfId="0" applyFont="1" applyFill="1" applyBorder="1" applyAlignment="1">
      <alignment horizontal="center" vertical="center" wrapText="1"/>
    </xf>
    <xf numFmtId="0" fontId="17" fillId="11" borderId="11" xfId="0" applyFont="1" applyFill="1" applyBorder="1" applyAlignment="1">
      <alignment horizontal="center" vertical="center" wrapText="1"/>
    </xf>
    <xf numFmtId="49" fontId="10" fillId="12" borderId="12" xfId="0" applyNumberFormat="1" applyFont="1" applyFill="1" applyBorder="1" applyAlignment="1">
      <alignment vertical="center" wrapText="1"/>
    </xf>
    <xf numFmtId="0" fontId="10" fillId="13" borderId="11" xfId="0" applyFont="1" applyFill="1" applyBorder="1" applyAlignment="1">
      <alignment vertical="center" wrapText="1"/>
    </xf>
    <xf numFmtId="0" fontId="10" fillId="13" borderId="34" xfId="0" applyFont="1" applyFill="1" applyBorder="1" applyAlignment="1">
      <alignment vertical="center" wrapText="1"/>
    </xf>
    <xf numFmtId="0" fontId="41" fillId="0" borderId="13" xfId="0" applyFont="1" applyBorder="1"/>
    <xf numFmtId="0" fontId="11" fillId="20" borderId="35" xfId="0" applyFont="1" applyFill="1" applyBorder="1" applyAlignment="1">
      <alignment vertical="top" wrapText="1"/>
    </xf>
    <xf numFmtId="0" fontId="21" fillId="21" borderId="8" xfId="0" applyFont="1" applyFill="1" applyBorder="1"/>
    <xf numFmtId="0" fontId="10" fillId="22" borderId="12" xfId="0" applyFont="1" applyFill="1" applyBorder="1" applyAlignment="1">
      <alignment vertical="center" wrapText="1"/>
    </xf>
    <xf numFmtId="0" fontId="10" fillId="23" borderId="12" xfId="0" applyFont="1" applyFill="1" applyBorder="1" applyAlignment="1">
      <alignment vertical="center" wrapText="1"/>
    </xf>
    <xf numFmtId="0" fontId="2" fillId="11" borderId="11" xfId="0" applyFont="1" applyFill="1" applyBorder="1" applyAlignment="1">
      <alignment horizontal="center" textRotation="90" wrapText="1"/>
    </xf>
    <xf numFmtId="0" fontId="2" fillId="11" borderId="35" xfId="0" applyFont="1" applyFill="1" applyBorder="1" applyAlignment="1">
      <alignment horizontal="center" vertical="center" wrapText="1"/>
    </xf>
    <xf numFmtId="0" fontId="23" fillId="17" borderId="8" xfId="0" applyFont="1" applyFill="1" applyBorder="1"/>
    <xf numFmtId="0" fontId="23" fillId="24" borderId="8" xfId="0" applyFont="1" applyFill="1" applyBorder="1"/>
    <xf numFmtId="0" fontId="0" fillId="24" borderId="8" xfId="0" applyFill="1" applyBorder="1"/>
    <xf numFmtId="0" fontId="0" fillId="25" borderId="8" xfId="0" applyFill="1" applyBorder="1"/>
    <xf numFmtId="0" fontId="0" fillId="25" borderId="19" xfId="0" applyFill="1" applyBorder="1"/>
    <xf numFmtId="169" fontId="22" fillId="22" borderId="12" xfId="0" applyNumberFormat="1" applyFont="1" applyFill="1" applyBorder="1" applyAlignment="1">
      <alignment vertical="center" wrapText="1"/>
    </xf>
    <xf numFmtId="170" fontId="0" fillId="0" borderId="8" xfId="0" applyNumberFormat="1" applyBorder="1"/>
    <xf numFmtId="170" fontId="0" fillId="0" borderId="8" xfId="1" applyNumberFormat="1" applyFont="1" applyBorder="1"/>
    <xf numFmtId="0" fontId="42" fillId="17" borderId="36" xfId="0" applyFont="1" applyFill="1" applyBorder="1"/>
    <xf numFmtId="0" fontId="44" fillId="17" borderId="0" xfId="0" applyFont="1" applyFill="1"/>
    <xf numFmtId="8" fontId="3" fillId="12" borderId="12" xfId="0" applyNumberFormat="1" applyFont="1" applyFill="1" applyBorder="1" applyAlignment="1">
      <alignment vertical="center" wrapText="1"/>
    </xf>
    <xf numFmtId="0" fontId="43" fillId="12" borderId="16" xfId="10" applyFill="1" applyBorder="1" applyAlignment="1">
      <alignment vertical="center" wrapText="1"/>
    </xf>
    <xf numFmtId="9" fontId="3" fillId="12" borderId="12" xfId="0" applyNumberFormat="1" applyFont="1" applyFill="1" applyBorder="1" applyAlignment="1">
      <alignment vertical="center" wrapText="1"/>
    </xf>
    <xf numFmtId="10" fontId="3" fillId="12" borderId="12" xfId="0" applyNumberFormat="1" applyFont="1" applyFill="1" applyBorder="1" applyAlignment="1">
      <alignment vertical="center" wrapText="1"/>
    </xf>
    <xf numFmtId="0" fontId="0" fillId="0" borderId="37" xfId="0" applyBorder="1"/>
    <xf numFmtId="0" fontId="2" fillId="11" borderId="0" xfId="0" applyFont="1" applyFill="1" applyAlignment="1">
      <alignment horizontal="center" vertical="center" wrapText="1"/>
    </xf>
    <xf numFmtId="0" fontId="23" fillId="26" borderId="8" xfId="0" applyFont="1" applyFill="1" applyBorder="1"/>
    <xf numFmtId="0" fontId="0" fillId="26" borderId="8" xfId="0" applyFill="1" applyBorder="1"/>
    <xf numFmtId="9" fontId="0" fillId="0" borderId="8" xfId="0" applyNumberFormat="1" applyBorder="1"/>
    <xf numFmtId="0" fontId="3" fillId="17" borderId="10" xfId="0" applyFont="1" applyFill="1" applyBorder="1" applyAlignment="1">
      <alignment vertical="center" wrapText="1"/>
    </xf>
    <xf numFmtId="0" fontId="3" fillId="17" borderId="26" xfId="0" applyFont="1" applyFill="1" applyBorder="1" applyAlignment="1">
      <alignment vertical="center" wrapText="1"/>
    </xf>
    <xf numFmtId="0" fontId="3" fillId="17" borderId="0" xfId="0" applyFont="1" applyFill="1" applyAlignment="1">
      <alignment vertical="center" wrapText="1"/>
    </xf>
    <xf numFmtId="0" fontId="8" fillId="17" borderId="0" xfId="0" applyFont="1" applyFill="1" applyAlignment="1">
      <alignment vertical="center" wrapText="1"/>
    </xf>
    <xf numFmtId="0" fontId="3" fillId="17" borderId="0" xfId="0" applyFont="1" applyFill="1" applyAlignment="1">
      <alignment vertical="top" wrapText="1"/>
    </xf>
    <xf numFmtId="0" fontId="13" fillId="17" borderId="0" xfId="0" applyFont="1" applyFill="1" applyAlignment="1">
      <alignment horizontal="left" vertical="center" indent="5"/>
    </xf>
    <xf numFmtId="0" fontId="12" fillId="17" borderId="0" xfId="0" applyFont="1" applyFill="1" applyAlignment="1">
      <alignment vertical="center"/>
    </xf>
    <xf numFmtId="165" fontId="20" fillId="27" borderId="35" xfId="3" applyNumberFormat="1" applyFont="1" applyFill="1" applyBorder="1" applyAlignment="1" applyProtection="1">
      <alignment vertical="center" wrapText="1"/>
      <protection locked="0"/>
    </xf>
    <xf numFmtId="0" fontId="0" fillId="0" borderId="8" xfId="0" applyBorder="1" applyProtection="1">
      <protection locked="0"/>
    </xf>
    <xf numFmtId="0" fontId="3" fillId="28" borderId="35" xfId="0" applyFont="1" applyFill="1" applyBorder="1" applyAlignment="1" applyProtection="1">
      <alignment vertical="center" wrapText="1"/>
      <protection locked="0"/>
    </xf>
    <xf numFmtId="0" fontId="0" fillId="28" borderId="35" xfId="0" applyFill="1" applyBorder="1" applyProtection="1">
      <protection locked="0"/>
    </xf>
    <xf numFmtId="0" fontId="3" fillId="28" borderId="38" xfId="0" applyFont="1" applyFill="1" applyBorder="1" applyAlignment="1" applyProtection="1">
      <alignment vertical="center" wrapText="1"/>
      <protection locked="0"/>
    </xf>
    <xf numFmtId="165" fontId="0" fillId="15" borderId="35" xfId="3" applyNumberFormat="1" applyFont="1" applyFill="1" applyBorder="1" applyProtection="1"/>
    <xf numFmtId="0" fontId="0" fillId="28" borderId="39" xfId="0" applyFill="1" applyBorder="1" applyProtection="1">
      <protection locked="0"/>
    </xf>
    <xf numFmtId="0" fontId="24" fillId="0" borderId="8" xfId="0" applyFont="1" applyBorder="1" applyProtection="1">
      <protection locked="0"/>
    </xf>
    <xf numFmtId="0" fontId="14" fillId="12" borderId="8" xfId="0" applyFont="1" applyFill="1" applyBorder="1"/>
    <xf numFmtId="0" fontId="14" fillId="0" borderId="19" xfId="0" applyFont="1" applyBorder="1" applyAlignment="1" applyProtection="1">
      <alignment horizontal="right"/>
      <protection locked="0"/>
    </xf>
    <xf numFmtId="0" fontId="0" fillId="0" borderId="19" xfId="0" applyBorder="1" applyProtection="1">
      <protection locked="0"/>
    </xf>
    <xf numFmtId="0" fontId="22" fillId="28" borderId="40" xfId="0" applyFont="1" applyFill="1" applyBorder="1" applyAlignment="1">
      <alignment vertical="center"/>
    </xf>
    <xf numFmtId="0" fontId="22" fillId="12" borderId="40" xfId="0" applyFont="1" applyFill="1" applyBorder="1" applyAlignment="1">
      <alignment vertical="center"/>
    </xf>
    <xf numFmtId="0" fontId="22" fillId="27" borderId="40" xfId="0" applyFont="1" applyFill="1" applyBorder="1"/>
    <xf numFmtId="1" fontId="22" fillId="29" borderId="40" xfId="0" applyNumberFormat="1" applyFont="1" applyFill="1" applyBorder="1" applyAlignment="1">
      <alignment vertical="center" wrapText="1"/>
    </xf>
    <xf numFmtId="0" fontId="14" fillId="17" borderId="19" xfId="0" applyFont="1" applyFill="1" applyBorder="1" applyAlignment="1" applyProtection="1">
      <alignment horizontal="right"/>
      <protection locked="0"/>
    </xf>
    <xf numFmtId="0" fontId="26" fillId="17" borderId="41" xfId="0" applyFont="1" applyFill="1" applyBorder="1" applyAlignment="1">
      <alignment vertical="top"/>
    </xf>
    <xf numFmtId="0" fontId="0" fillId="0" borderId="42" xfId="0" applyBorder="1"/>
    <xf numFmtId="0" fontId="13" fillId="17" borderId="0" xfId="0" applyFont="1" applyFill="1" applyAlignment="1">
      <alignment vertical="top"/>
    </xf>
    <xf numFmtId="0" fontId="11" fillId="0" borderId="43" xfId="0" applyFont="1" applyBorder="1" applyAlignment="1">
      <alignment horizontal="left" vertical="top" wrapText="1"/>
    </xf>
    <xf numFmtId="0" fontId="11" fillId="17" borderId="43" xfId="0" applyFont="1" applyFill="1" applyBorder="1" applyAlignment="1">
      <alignment horizontal="left" vertical="top" wrapText="1"/>
    </xf>
    <xf numFmtId="1" fontId="10" fillId="15" borderId="10" xfId="0" applyNumberFormat="1" applyFont="1" applyFill="1" applyBorder="1" applyAlignment="1">
      <alignment vertical="center"/>
    </xf>
    <xf numFmtId="0" fontId="2" fillId="11" borderId="14" xfId="0" applyFont="1" applyFill="1" applyBorder="1" applyAlignment="1">
      <alignment horizontal="center" textRotation="90" wrapText="1"/>
    </xf>
    <xf numFmtId="0" fontId="19" fillId="0" borderId="37" xfId="0" applyFont="1" applyBorder="1"/>
    <xf numFmtId="9" fontId="0" fillId="0" borderId="8" xfId="1" applyFont="1" applyBorder="1"/>
    <xf numFmtId="165" fontId="20" fillId="30" borderId="9" xfId="3" applyNumberFormat="1" applyFont="1" applyFill="1" applyBorder="1" applyAlignment="1">
      <alignment vertical="center" wrapText="1"/>
    </xf>
    <xf numFmtId="0" fontId="17" fillId="21" borderId="11" xfId="0" applyFont="1" applyFill="1" applyBorder="1" applyAlignment="1">
      <alignment horizontal="center" vertical="center" wrapText="1"/>
    </xf>
    <xf numFmtId="0" fontId="14" fillId="0" borderId="19" xfId="0" applyFont="1" applyBorder="1" applyAlignment="1">
      <alignment horizontal="right"/>
    </xf>
    <xf numFmtId="0" fontId="24" fillId="0" borderId="19" xfId="0" applyFont="1" applyBorder="1"/>
    <xf numFmtId="166" fontId="0" fillId="15" borderId="35" xfId="0" applyNumberFormat="1" applyFill="1" applyBorder="1"/>
    <xf numFmtId="0" fontId="27" fillId="0" borderId="0" xfId="0" applyFont="1"/>
    <xf numFmtId="0" fontId="0" fillId="28" borderId="14" xfId="0" applyFill="1" applyBorder="1" applyProtection="1">
      <protection locked="0"/>
    </xf>
    <xf numFmtId="165" fontId="10" fillId="27" borderId="35" xfId="3" applyNumberFormat="1" applyFont="1" applyFill="1" applyBorder="1" applyAlignment="1" applyProtection="1">
      <alignment vertical="center" wrapText="1"/>
      <protection locked="0"/>
    </xf>
    <xf numFmtId="0" fontId="10" fillId="28" borderId="44" xfId="0" applyFont="1" applyFill="1" applyBorder="1" applyAlignment="1" applyProtection="1">
      <alignment vertical="center" wrapText="1"/>
      <protection locked="0"/>
    </xf>
    <xf numFmtId="0" fontId="10" fillId="28" borderId="0" xfId="0" applyFont="1" applyFill="1" applyAlignment="1" applyProtection="1">
      <alignment vertical="center" wrapText="1"/>
      <protection locked="0"/>
    </xf>
    <xf numFmtId="164" fontId="10" fillId="27" borderId="10" xfId="0" applyNumberFormat="1" applyFont="1" applyFill="1" applyBorder="1" applyAlignment="1" applyProtection="1">
      <alignment vertical="center" wrapText="1"/>
      <protection locked="0"/>
    </xf>
    <xf numFmtId="49" fontId="10" fillId="28" borderId="10" xfId="0" applyNumberFormat="1" applyFont="1" applyFill="1" applyBorder="1" applyAlignment="1" applyProtection="1">
      <alignment vertical="center" wrapText="1"/>
      <protection locked="0"/>
    </xf>
    <xf numFmtId="0" fontId="20" fillId="28" borderId="10" xfId="0" applyFont="1" applyFill="1" applyBorder="1" applyProtection="1">
      <protection locked="0"/>
    </xf>
    <xf numFmtId="0" fontId="20" fillId="28" borderId="9" xfId="0" applyFont="1" applyFill="1" applyBorder="1" applyProtection="1">
      <protection locked="0"/>
    </xf>
    <xf numFmtId="0" fontId="20" fillId="28" borderId="26" xfId="0" applyFont="1" applyFill="1" applyBorder="1" applyProtection="1">
      <protection locked="0"/>
    </xf>
    <xf numFmtId="0" fontId="20" fillId="28" borderId="14" xfId="0" applyFont="1" applyFill="1" applyBorder="1" applyProtection="1">
      <protection locked="0"/>
    </xf>
    <xf numFmtId="165" fontId="20" fillId="27" borderId="14" xfId="3" applyNumberFormat="1" applyFont="1" applyFill="1" applyBorder="1" applyAlignment="1" applyProtection="1">
      <alignment vertical="center" wrapText="1"/>
      <protection locked="0"/>
    </xf>
    <xf numFmtId="0" fontId="20" fillId="28" borderId="15" xfId="0" applyFont="1" applyFill="1" applyBorder="1" applyProtection="1">
      <protection locked="0"/>
    </xf>
    <xf numFmtId="14" fontId="20" fillId="28" borderId="35" xfId="3" applyNumberFormat="1" applyFont="1" applyFill="1" applyBorder="1" applyAlignment="1" applyProtection="1">
      <alignment vertical="center" wrapText="1"/>
      <protection locked="0"/>
    </xf>
    <xf numFmtId="165" fontId="20" fillId="28" borderId="35" xfId="3" applyNumberFormat="1" applyFont="1" applyFill="1" applyBorder="1" applyAlignment="1" applyProtection="1">
      <alignment vertical="center" wrapText="1"/>
      <protection locked="0"/>
    </xf>
    <xf numFmtId="0" fontId="3" fillId="12" borderId="0" xfId="0" applyFont="1" applyFill="1" applyAlignment="1">
      <alignment vertical="center" wrapText="1"/>
    </xf>
    <xf numFmtId="0" fontId="3" fillId="12" borderId="0" xfId="0" applyFont="1" applyFill="1" applyAlignment="1">
      <alignment horizontal="left" vertical="center" wrapText="1"/>
    </xf>
    <xf numFmtId="0" fontId="15" fillId="17" borderId="0" xfId="0" applyFont="1" applyFill="1"/>
    <xf numFmtId="0" fontId="42" fillId="17" borderId="0" xfId="0" applyFont="1" applyFill="1"/>
    <xf numFmtId="0" fontId="43" fillId="17" borderId="0" xfId="10" applyFill="1" applyAlignment="1">
      <alignment vertical="top"/>
    </xf>
    <xf numFmtId="0" fontId="49" fillId="17" borderId="36" xfId="0" applyFont="1" applyFill="1" applyBorder="1"/>
    <xf numFmtId="0" fontId="48" fillId="17" borderId="0" xfId="0" applyFont="1" applyFill="1"/>
    <xf numFmtId="0" fontId="50" fillId="17" borderId="0" xfId="10" applyFont="1" applyFill="1" applyBorder="1"/>
    <xf numFmtId="0" fontId="50" fillId="17" borderId="0" xfId="10" applyFont="1" applyFill="1"/>
    <xf numFmtId="0" fontId="3" fillId="17" borderId="11" xfId="0" applyFont="1" applyFill="1" applyBorder="1" applyAlignment="1">
      <alignment vertical="center" wrapText="1"/>
    </xf>
    <xf numFmtId="165" fontId="22" fillId="14" borderId="45" xfId="3" applyNumberFormat="1" applyFont="1" applyFill="1" applyBorder="1" applyAlignment="1">
      <alignment vertical="center" wrapText="1"/>
    </xf>
    <xf numFmtId="165" fontId="22" fillId="14" borderId="46" xfId="3" applyNumberFormat="1" applyFont="1" applyFill="1" applyBorder="1" applyAlignment="1">
      <alignment vertical="center" wrapText="1"/>
    </xf>
    <xf numFmtId="165" fontId="10" fillId="31" borderId="10" xfId="3" applyNumberFormat="1" applyFont="1" applyFill="1" applyBorder="1" applyAlignment="1">
      <alignment vertical="center" wrapText="1"/>
    </xf>
    <xf numFmtId="0" fontId="0" fillId="28" borderId="9" xfId="0" applyFill="1" applyBorder="1" applyProtection="1">
      <protection locked="0"/>
    </xf>
    <xf numFmtId="0" fontId="0" fillId="28" borderId="10" xfId="0" applyFill="1" applyBorder="1" applyProtection="1">
      <protection locked="0"/>
    </xf>
    <xf numFmtId="0" fontId="0" fillId="17" borderId="25" xfId="0" applyFill="1" applyBorder="1"/>
    <xf numFmtId="0" fontId="9" fillId="11" borderId="23" xfId="0" applyFont="1" applyFill="1" applyBorder="1" applyAlignment="1">
      <alignment horizontal="center" vertical="center" wrapText="1"/>
    </xf>
    <xf numFmtId="0" fontId="9" fillId="11" borderId="29" xfId="0" applyFont="1" applyFill="1" applyBorder="1" applyAlignment="1">
      <alignment horizontal="center" vertical="center" wrapText="1"/>
    </xf>
    <xf numFmtId="167" fontId="53" fillId="21" borderId="35" xfId="0" applyNumberFormat="1" applyFont="1" applyFill="1" applyBorder="1" applyAlignment="1">
      <alignment horizontal="center" vertical="center"/>
    </xf>
    <xf numFmtId="0" fontId="34" fillId="32" borderId="8" xfId="0" applyFont="1" applyFill="1" applyBorder="1" applyAlignment="1">
      <alignment horizontal="center" vertical="center"/>
    </xf>
    <xf numFmtId="0" fontId="9" fillId="11" borderId="9" xfId="0" applyFont="1" applyFill="1" applyBorder="1" applyAlignment="1">
      <alignment horizontal="center" vertical="center" wrapText="1"/>
    </xf>
    <xf numFmtId="0" fontId="9" fillId="11" borderId="10" xfId="0" applyFont="1" applyFill="1" applyBorder="1" applyAlignment="1">
      <alignment horizontal="center" vertical="center" wrapText="1"/>
    </xf>
    <xf numFmtId="0" fontId="9" fillId="11" borderId="9" xfId="0" applyFont="1" applyFill="1" applyBorder="1" applyAlignment="1">
      <alignment horizontal="left" vertical="center" wrapText="1"/>
    </xf>
    <xf numFmtId="0" fontId="10" fillId="13" borderId="35" xfId="0" applyFont="1" applyFill="1" applyBorder="1" applyAlignment="1">
      <alignment vertical="center" wrapText="1"/>
    </xf>
    <xf numFmtId="0" fontId="0" fillId="33" borderId="20" xfId="0" applyFill="1" applyBorder="1"/>
    <xf numFmtId="0" fontId="54" fillId="33" borderId="20" xfId="0" applyFont="1" applyFill="1" applyBorder="1"/>
    <xf numFmtId="0" fontId="19" fillId="17" borderId="43" xfId="0" applyFont="1" applyFill="1" applyBorder="1" applyAlignment="1">
      <alignment horizontal="left" vertical="top" wrapText="1"/>
    </xf>
    <xf numFmtId="0" fontId="3" fillId="12" borderId="47" xfId="0" applyFont="1" applyFill="1" applyBorder="1" applyAlignment="1">
      <alignment horizontal="center" vertical="center" wrapText="1"/>
    </xf>
    <xf numFmtId="0" fontId="61" fillId="20" borderId="8" xfId="0" applyFont="1" applyFill="1" applyBorder="1" applyAlignment="1">
      <alignment vertical="center" wrapText="1"/>
    </xf>
    <xf numFmtId="0" fontId="3" fillId="20" borderId="12" xfId="0" applyFont="1" applyFill="1" applyBorder="1" applyAlignment="1">
      <alignment vertical="center" wrapText="1"/>
    </xf>
    <xf numFmtId="0" fontId="10" fillId="23" borderId="16" xfId="0" applyFont="1" applyFill="1" applyBorder="1" applyAlignment="1">
      <alignment vertical="center" wrapText="1"/>
    </xf>
    <xf numFmtId="0" fontId="3" fillId="12" borderId="44" xfId="0" applyFont="1" applyFill="1" applyBorder="1" applyAlignment="1">
      <alignment vertical="center" wrapText="1"/>
    </xf>
    <xf numFmtId="0" fontId="10" fillId="23" borderId="48" xfId="0" applyFont="1" applyFill="1" applyBorder="1" applyAlignment="1">
      <alignment vertical="center" wrapText="1"/>
    </xf>
    <xf numFmtId="0" fontId="10" fillId="23" borderId="44" xfId="0" applyFont="1" applyFill="1" applyBorder="1" applyAlignment="1">
      <alignment vertical="center" wrapText="1"/>
    </xf>
    <xf numFmtId="0" fontId="22" fillId="0" borderId="37" xfId="0" applyFont="1" applyBorder="1" applyAlignment="1">
      <alignment horizontal="center" vertical="center" wrapText="1"/>
    </xf>
    <xf numFmtId="0" fontId="22" fillId="0" borderId="12" xfId="0" applyFont="1" applyBorder="1" applyAlignment="1">
      <alignment horizontal="center" vertical="center" wrapText="1"/>
    </xf>
    <xf numFmtId="0" fontId="2" fillId="17" borderId="49" xfId="0" applyFont="1" applyFill="1" applyBorder="1" applyAlignment="1">
      <alignment horizontal="center" vertical="center" wrapText="1"/>
    </xf>
    <xf numFmtId="43" fontId="10" fillId="14" borderId="10" xfId="3" applyFont="1" applyFill="1" applyBorder="1" applyAlignment="1">
      <alignment vertical="center" wrapText="1"/>
    </xf>
    <xf numFmtId="0" fontId="0" fillId="0" borderId="50" xfId="0" applyBorder="1"/>
    <xf numFmtId="0" fontId="0" fillId="0" borderId="51" xfId="0" applyBorder="1"/>
    <xf numFmtId="0" fontId="3" fillId="0" borderId="12" xfId="0" applyFont="1" applyBorder="1" applyAlignment="1">
      <alignment vertical="center" wrapText="1"/>
    </xf>
    <xf numFmtId="0" fontId="10" fillId="34" borderId="12" xfId="0" applyFont="1" applyFill="1" applyBorder="1" applyAlignment="1">
      <alignment vertical="center" wrapText="1"/>
    </xf>
    <xf numFmtId="172" fontId="31" fillId="12" borderId="12" xfId="0" applyNumberFormat="1" applyFont="1" applyFill="1" applyBorder="1" applyAlignment="1">
      <alignment vertical="center" wrapText="1"/>
    </xf>
    <xf numFmtId="0" fontId="0" fillId="0" borderId="8" xfId="0" applyBorder="1" applyAlignment="1">
      <alignment horizontal="left"/>
    </xf>
    <xf numFmtId="0" fontId="3" fillId="12" borderId="12" xfId="0" applyFont="1" applyFill="1" applyBorder="1" applyAlignment="1">
      <alignment vertical="center"/>
    </xf>
    <xf numFmtId="0" fontId="2" fillId="11" borderId="9" xfId="0" applyFont="1" applyFill="1" applyBorder="1" applyAlignment="1">
      <alignment horizontal="right" vertical="center" wrapText="1"/>
    </xf>
    <xf numFmtId="49" fontId="10" fillId="12" borderId="11" xfId="0" applyNumberFormat="1" applyFont="1" applyFill="1" applyBorder="1" applyAlignment="1">
      <alignment horizontal="center" vertical="center" wrapText="1"/>
    </xf>
    <xf numFmtId="1" fontId="10" fillId="15" borderId="10" xfId="0" applyNumberFormat="1" applyFont="1" applyFill="1" applyBorder="1" applyAlignment="1">
      <alignment horizontal="center" vertical="center" wrapText="1"/>
    </xf>
    <xf numFmtId="173" fontId="0" fillId="15" borderId="35" xfId="3" applyNumberFormat="1" applyFont="1" applyFill="1" applyBorder="1" applyProtection="1"/>
    <xf numFmtId="43" fontId="10" fillId="15" borderId="10" xfId="3" applyFont="1" applyFill="1" applyBorder="1" applyAlignment="1" applyProtection="1">
      <alignment vertical="center" wrapText="1"/>
    </xf>
    <xf numFmtId="43" fontId="10" fillId="15" borderId="10" xfId="3" applyFont="1" applyFill="1" applyBorder="1" applyAlignment="1">
      <alignment vertical="center" wrapText="1"/>
    </xf>
    <xf numFmtId="43" fontId="10" fillId="15" borderId="26" xfId="3" applyFont="1" applyFill="1" applyBorder="1" applyAlignment="1">
      <alignment vertical="center" wrapText="1"/>
    </xf>
    <xf numFmtId="43" fontId="10" fillId="15" borderId="52" xfId="3" applyFont="1" applyFill="1" applyBorder="1" applyAlignment="1">
      <alignment vertical="center" wrapText="1"/>
    </xf>
    <xf numFmtId="0" fontId="0" fillId="0" borderId="25" xfId="0" applyBorder="1" applyProtection="1">
      <protection locked="0"/>
    </xf>
    <xf numFmtId="0" fontId="0" fillId="0" borderId="53" xfId="0" applyBorder="1"/>
    <xf numFmtId="0" fontId="0" fillId="0" borderId="54" xfId="0" applyBorder="1"/>
    <xf numFmtId="0" fontId="0" fillId="0" borderId="54" xfId="0" applyBorder="1" applyProtection="1">
      <protection locked="0"/>
    </xf>
    <xf numFmtId="165" fontId="32" fillId="14" borderId="32" xfId="3" applyNumberFormat="1" applyFont="1" applyFill="1" applyBorder="1" applyAlignment="1">
      <alignment vertical="center" wrapText="1"/>
    </xf>
    <xf numFmtId="0" fontId="0" fillId="0" borderId="55" xfId="0" applyBorder="1"/>
    <xf numFmtId="0" fontId="0" fillId="0" borderId="56" xfId="0" applyBorder="1"/>
    <xf numFmtId="165" fontId="22" fillId="0" borderId="57" xfId="3" applyNumberFormat="1" applyFont="1" applyFill="1" applyBorder="1" applyAlignment="1">
      <alignment vertical="center" wrapText="1"/>
    </xf>
    <xf numFmtId="165" fontId="32" fillId="0" borderId="58" xfId="3" applyNumberFormat="1" applyFont="1" applyFill="1" applyBorder="1" applyAlignment="1">
      <alignment vertical="center" wrapText="1"/>
    </xf>
    <xf numFmtId="165" fontId="32" fillId="0" borderId="59" xfId="3" applyNumberFormat="1" applyFont="1" applyFill="1" applyBorder="1" applyAlignment="1">
      <alignment vertical="center" wrapText="1"/>
    </xf>
    <xf numFmtId="0" fontId="8" fillId="12" borderId="60" xfId="0" applyFont="1" applyFill="1" applyBorder="1" applyAlignment="1">
      <alignment vertical="center" wrapText="1"/>
    </xf>
    <xf numFmtId="168" fontId="10" fillId="15" borderId="10" xfId="3" applyNumberFormat="1" applyFont="1" applyFill="1" applyBorder="1" applyAlignment="1">
      <alignment vertical="center" wrapText="1"/>
    </xf>
    <xf numFmtId="43" fontId="0" fillId="0" borderId="8" xfId="0" applyNumberFormat="1" applyBorder="1"/>
    <xf numFmtId="0" fontId="19" fillId="17" borderId="8" xfId="0" applyFont="1" applyFill="1" applyBorder="1"/>
    <xf numFmtId="165" fontId="20" fillId="27" borderId="61" xfId="3" applyNumberFormat="1" applyFont="1" applyFill="1" applyBorder="1" applyAlignment="1" applyProtection="1">
      <alignment vertical="center" wrapText="1"/>
      <protection locked="0"/>
    </xf>
    <xf numFmtId="2" fontId="0" fillId="15" borderId="9" xfId="0" applyNumberFormat="1" applyFill="1" applyBorder="1"/>
    <xf numFmtId="165" fontId="65" fillId="30" borderId="9" xfId="3" applyNumberFormat="1" applyFont="1" applyFill="1" applyBorder="1" applyAlignment="1">
      <alignment vertical="center" wrapText="1"/>
    </xf>
    <xf numFmtId="0" fontId="46" fillId="17" borderId="25" xfId="0" applyFont="1" applyFill="1" applyBorder="1"/>
    <xf numFmtId="0" fontId="25" fillId="0" borderId="62" xfId="0" applyFont="1" applyBorder="1" applyAlignment="1">
      <alignment horizontal="left"/>
    </xf>
    <xf numFmtId="43" fontId="10" fillId="27" borderId="10" xfId="3" applyFont="1" applyFill="1" applyBorder="1" applyAlignment="1" applyProtection="1">
      <alignment vertical="center" wrapText="1"/>
      <protection locked="0"/>
    </xf>
    <xf numFmtId="43" fontId="10" fillId="27" borderId="26" xfId="3" applyFont="1" applyFill="1" applyBorder="1" applyAlignment="1" applyProtection="1">
      <alignment vertical="center" wrapText="1"/>
      <protection locked="0"/>
    </xf>
    <xf numFmtId="17" fontId="20" fillId="28" borderId="63" xfId="0" applyNumberFormat="1" applyFont="1" applyFill="1" applyBorder="1" applyAlignment="1" applyProtection="1">
      <alignment horizontal="left" vertical="top" wrapText="1"/>
      <protection locked="0"/>
    </xf>
    <xf numFmtId="0" fontId="14" fillId="12" borderId="20" xfId="0" applyFont="1" applyFill="1" applyBorder="1"/>
    <xf numFmtId="0" fontId="15" fillId="0" borderId="19" xfId="0" applyFont="1" applyBorder="1" applyAlignment="1">
      <alignment horizontal="left" vertical="top" wrapText="1"/>
    </xf>
    <xf numFmtId="0" fontId="0" fillId="0" borderId="64" xfId="0" applyBorder="1"/>
    <xf numFmtId="0" fontId="15" fillId="0" borderId="8" xfId="0" applyFont="1" applyBorder="1" applyAlignment="1">
      <alignment horizontal="left" vertical="top" wrapText="1"/>
    </xf>
    <xf numFmtId="165" fontId="10" fillId="14" borderId="65" xfId="3" applyNumberFormat="1" applyFont="1" applyFill="1" applyBorder="1" applyAlignment="1">
      <alignment vertical="center" wrapText="1"/>
    </xf>
    <xf numFmtId="0" fontId="2" fillId="11" borderId="66" xfId="0" applyFont="1" applyFill="1" applyBorder="1" applyAlignment="1">
      <alignment vertical="center" wrapText="1"/>
    </xf>
    <xf numFmtId="0" fontId="2" fillId="11" borderId="49" xfId="0" applyFont="1" applyFill="1" applyBorder="1" applyAlignment="1">
      <alignment vertical="center" wrapText="1"/>
    </xf>
    <xf numFmtId="0" fontId="2" fillId="0" borderId="49" xfId="0" applyFont="1" applyBorder="1" applyAlignment="1">
      <alignment vertical="center" wrapText="1"/>
    </xf>
    <xf numFmtId="0" fontId="2" fillId="17" borderId="12" xfId="0" applyFont="1" applyFill="1" applyBorder="1" applyAlignment="1">
      <alignment horizontal="center" vertical="center" wrapText="1"/>
    </xf>
    <xf numFmtId="0" fontId="2" fillId="0" borderId="8" xfId="0" applyFont="1" applyBorder="1" applyAlignment="1">
      <alignment vertical="center" wrapText="1"/>
    </xf>
    <xf numFmtId="0" fontId="2" fillId="11" borderId="47" xfId="0" applyFont="1" applyFill="1" applyBorder="1" applyAlignment="1">
      <alignment vertical="center" wrapText="1"/>
    </xf>
    <xf numFmtId="0" fontId="2" fillId="11" borderId="44" xfId="0" applyFont="1" applyFill="1" applyBorder="1" applyAlignment="1">
      <alignment vertical="center" wrapText="1"/>
    </xf>
    <xf numFmtId="0" fontId="2" fillId="0" borderId="67" xfId="0" applyFont="1" applyBorder="1" applyAlignment="1">
      <alignment vertical="center" wrapText="1"/>
    </xf>
    <xf numFmtId="0" fontId="2" fillId="0" borderId="68" xfId="0" applyFont="1" applyBorder="1" applyAlignment="1">
      <alignment vertical="center" wrapText="1"/>
    </xf>
    <xf numFmtId="0" fontId="0" fillId="17" borderId="69" xfId="0" applyFill="1" applyBorder="1"/>
    <xf numFmtId="0" fontId="0" fillId="17" borderId="70" xfId="0" applyFill="1" applyBorder="1"/>
    <xf numFmtId="0" fontId="2" fillId="0" borderId="37" xfId="0" applyFont="1" applyBorder="1" applyAlignment="1">
      <alignment vertical="center" wrapText="1"/>
    </xf>
    <xf numFmtId="0" fontId="2" fillId="0" borderId="20" xfId="0" applyFont="1" applyBorder="1" applyAlignment="1">
      <alignment vertical="center" wrapText="1"/>
    </xf>
    <xf numFmtId="0" fontId="2" fillId="0" borderId="71" xfId="0" applyFont="1" applyBorder="1" applyAlignment="1">
      <alignment vertical="center" wrapText="1"/>
    </xf>
    <xf numFmtId="0" fontId="2" fillId="0" borderId="72" xfId="0" applyFont="1" applyBorder="1" applyAlignment="1">
      <alignment vertical="center" wrapText="1"/>
    </xf>
    <xf numFmtId="0" fontId="2" fillId="0" borderId="13" xfId="0" applyFont="1" applyBorder="1" applyAlignment="1">
      <alignment vertical="center" wrapText="1"/>
    </xf>
    <xf numFmtId="0" fontId="0" fillId="17" borderId="73" xfId="0" applyFill="1" applyBorder="1"/>
    <xf numFmtId="0" fontId="27" fillId="0" borderId="74" xfId="0" applyFont="1" applyBorder="1" applyAlignment="1">
      <alignment vertical="center"/>
    </xf>
    <xf numFmtId="0" fontId="19" fillId="0" borderId="42" xfId="0" applyFont="1" applyBorder="1"/>
    <xf numFmtId="0" fontId="31" fillId="20" borderId="11" xfId="0" applyFont="1" applyFill="1" applyBorder="1" applyAlignment="1">
      <alignment vertical="center" wrapText="1"/>
    </xf>
    <xf numFmtId="0" fontId="8" fillId="12" borderId="75" xfId="0" applyFont="1" applyFill="1" applyBorder="1" applyAlignment="1">
      <alignment vertical="center" wrapText="1"/>
    </xf>
    <xf numFmtId="0" fontId="3" fillId="12" borderId="76" xfId="0" applyFont="1" applyFill="1" applyBorder="1" applyAlignment="1">
      <alignment vertical="center" wrapText="1"/>
    </xf>
    <xf numFmtId="17" fontId="20" fillId="0" borderId="63" xfId="0" applyNumberFormat="1" applyFont="1" applyBorder="1" applyAlignment="1" applyProtection="1">
      <alignment horizontal="left" vertical="top" wrapText="1"/>
      <protection locked="0"/>
    </xf>
    <xf numFmtId="0" fontId="20" fillId="0" borderId="8" xfId="0" applyFont="1" applyBorder="1" applyProtection="1">
      <protection locked="0"/>
    </xf>
    <xf numFmtId="17" fontId="20" fillId="0" borderId="44" xfId="0" applyNumberFormat="1" applyFont="1" applyBorder="1" applyAlignment="1" applyProtection="1">
      <alignment horizontal="left" vertical="top" wrapText="1"/>
      <protection locked="0"/>
    </xf>
    <xf numFmtId="17" fontId="20" fillId="0" borderId="19" xfId="0" applyNumberFormat="1" applyFont="1" applyBorder="1" applyAlignment="1" applyProtection="1">
      <alignment horizontal="left" vertical="top" wrapText="1"/>
      <protection locked="0"/>
    </xf>
    <xf numFmtId="17" fontId="20" fillId="0" borderId="8" xfId="0" applyNumberFormat="1" applyFont="1" applyBorder="1" applyAlignment="1" applyProtection="1">
      <alignment horizontal="left" vertical="top" wrapText="1"/>
      <protection locked="0"/>
    </xf>
    <xf numFmtId="17" fontId="20" fillId="0" borderId="68" xfId="0" applyNumberFormat="1" applyFont="1" applyBorder="1" applyAlignment="1" applyProtection="1">
      <alignment horizontal="left" vertical="top" wrapText="1"/>
      <protection locked="0"/>
    </xf>
    <xf numFmtId="17" fontId="20" fillId="0" borderId="71" xfId="0" applyNumberFormat="1" applyFont="1" applyBorder="1" applyAlignment="1" applyProtection="1">
      <alignment horizontal="left" vertical="top" wrapText="1"/>
      <protection locked="0"/>
    </xf>
    <xf numFmtId="17" fontId="20" fillId="0" borderId="77" xfId="0" applyNumberFormat="1" applyFont="1" applyBorder="1" applyAlignment="1" applyProtection="1">
      <alignment horizontal="left" vertical="top" wrapText="1"/>
      <protection locked="0"/>
    </xf>
    <xf numFmtId="0" fontId="3" fillId="0" borderId="11" xfId="0" applyFont="1" applyBorder="1" applyAlignment="1">
      <alignment vertical="center" wrapText="1"/>
    </xf>
    <xf numFmtId="0" fontId="6" fillId="17" borderId="11" xfId="0" applyFont="1" applyFill="1" applyBorder="1" applyAlignment="1">
      <alignment vertical="center" wrapText="1"/>
    </xf>
    <xf numFmtId="1" fontId="10" fillId="17" borderId="10" xfId="0" applyNumberFormat="1" applyFont="1" applyFill="1" applyBorder="1" applyAlignment="1">
      <alignment vertical="center" wrapText="1"/>
    </xf>
    <xf numFmtId="0" fontId="14" fillId="17" borderId="20" xfId="0" applyFont="1" applyFill="1" applyBorder="1"/>
    <xf numFmtId="0" fontId="16" fillId="17" borderId="0" xfId="0" applyFont="1" applyFill="1"/>
    <xf numFmtId="0" fontId="14" fillId="17" borderId="0" xfId="0" applyFont="1" applyFill="1"/>
    <xf numFmtId="165" fontId="22" fillId="35" borderId="22" xfId="3" applyNumberFormat="1" applyFont="1" applyFill="1" applyBorder="1" applyAlignment="1">
      <alignment vertical="center" wrapText="1"/>
    </xf>
    <xf numFmtId="165" fontId="22" fillId="35" borderId="78" xfId="3" applyNumberFormat="1" applyFont="1" applyFill="1" applyBorder="1" applyAlignment="1">
      <alignment vertical="center" wrapText="1"/>
    </xf>
    <xf numFmtId="165" fontId="22" fillId="35" borderId="18" xfId="3" applyNumberFormat="1" applyFont="1" applyFill="1" applyBorder="1" applyAlignment="1">
      <alignment vertical="center" wrapText="1"/>
    </xf>
    <xf numFmtId="165" fontId="10" fillId="35" borderId="10" xfId="3" applyNumberFormat="1" applyFont="1" applyFill="1" applyBorder="1" applyAlignment="1">
      <alignment vertical="center" wrapText="1"/>
    </xf>
    <xf numFmtId="0" fontId="3" fillId="36" borderId="12" xfId="0" applyFont="1" applyFill="1" applyBorder="1" applyAlignment="1">
      <alignment vertical="center" wrapText="1"/>
    </xf>
    <xf numFmtId="171" fontId="10" fillId="37" borderId="12" xfId="0" applyNumberFormat="1" applyFont="1" applyFill="1" applyBorder="1" applyAlignment="1">
      <alignment vertical="center" wrapText="1"/>
    </xf>
    <xf numFmtId="0" fontId="10" fillId="37" borderId="12" xfId="0" applyFont="1" applyFill="1" applyBorder="1" applyAlignment="1">
      <alignment vertical="center" wrapText="1"/>
    </xf>
    <xf numFmtId="169" fontId="3" fillId="36" borderId="12" xfId="0" applyNumberFormat="1" applyFont="1" applyFill="1" applyBorder="1" applyAlignment="1">
      <alignment vertical="center" wrapText="1"/>
    </xf>
    <xf numFmtId="169" fontId="10" fillId="37" borderId="12" xfId="0" applyNumberFormat="1" applyFont="1" applyFill="1" applyBorder="1" applyAlignment="1">
      <alignment vertical="center" wrapText="1"/>
    </xf>
    <xf numFmtId="0" fontId="10" fillId="37" borderId="12" xfId="0" applyFont="1" applyFill="1" applyBorder="1" applyAlignment="1">
      <alignment horizontal="right" vertical="center" wrapText="1"/>
    </xf>
    <xf numFmtId="15" fontId="62" fillId="0" borderId="8" xfId="0" applyNumberFormat="1" applyFont="1" applyBorder="1"/>
    <xf numFmtId="0" fontId="67" fillId="0" borderId="8" xfId="0" applyFont="1" applyBorder="1"/>
    <xf numFmtId="165" fontId="64" fillId="0" borderId="23" xfId="3" applyNumberFormat="1" applyFont="1" applyFill="1" applyBorder="1" applyAlignment="1">
      <alignment vertical="center" wrapText="1"/>
    </xf>
    <xf numFmtId="165" fontId="64" fillId="0" borderId="22" xfId="3" applyNumberFormat="1" applyFont="1" applyFill="1" applyBorder="1" applyAlignment="1">
      <alignment vertical="center" wrapText="1"/>
    </xf>
    <xf numFmtId="165" fontId="64" fillId="0" borderId="10" xfId="3" applyNumberFormat="1" applyFont="1" applyFill="1" applyBorder="1" applyAlignment="1">
      <alignment vertical="center" wrapText="1"/>
    </xf>
    <xf numFmtId="172" fontId="31" fillId="12" borderId="47" xfId="0" applyNumberFormat="1" applyFont="1" applyFill="1" applyBorder="1" applyAlignment="1">
      <alignment vertical="center" wrapText="1"/>
    </xf>
    <xf numFmtId="168" fontId="10" fillId="15" borderId="15" xfId="3" applyNumberFormat="1" applyFont="1" applyFill="1" applyBorder="1" applyAlignment="1">
      <alignment vertical="center" wrapText="1"/>
    </xf>
    <xf numFmtId="0" fontId="10" fillId="28" borderId="47" xfId="0" applyFont="1" applyFill="1" applyBorder="1" applyAlignment="1" applyProtection="1">
      <alignment vertical="center" wrapText="1"/>
      <protection locked="0"/>
    </xf>
    <xf numFmtId="171" fontId="53" fillId="37" borderId="12" xfId="0" applyNumberFormat="1" applyFont="1" applyFill="1" applyBorder="1" applyAlignment="1">
      <alignment vertical="center" wrapText="1"/>
    </xf>
    <xf numFmtId="0" fontId="53" fillId="37" borderId="12" xfId="0" applyFont="1" applyFill="1" applyBorder="1" applyAlignment="1">
      <alignment vertical="center" wrapText="1"/>
    </xf>
    <xf numFmtId="0" fontId="10" fillId="37" borderId="55" xfId="4" applyFont="1" applyFill="1" applyBorder="1" applyAlignment="1">
      <alignment horizontal="right"/>
    </xf>
    <xf numFmtId="0" fontId="10" fillId="37" borderId="56" xfId="4" applyFont="1" applyFill="1" applyBorder="1" applyAlignment="1">
      <alignment horizontal="right"/>
    </xf>
    <xf numFmtId="0" fontId="10" fillId="37" borderId="79" xfId="4" applyFont="1" applyFill="1" applyBorder="1" applyAlignment="1">
      <alignment horizontal="right"/>
    </xf>
    <xf numFmtId="169" fontId="53" fillId="37" borderId="12" xfId="0" applyNumberFormat="1" applyFont="1" applyFill="1" applyBorder="1" applyAlignment="1">
      <alignment vertical="center" wrapText="1"/>
    </xf>
    <xf numFmtId="0" fontId="11" fillId="0" borderId="51" xfId="0" applyFont="1" applyBorder="1" applyAlignment="1">
      <alignment horizontal="left" vertical="top" wrapText="1"/>
    </xf>
    <xf numFmtId="0" fontId="11" fillId="0" borderId="43" xfId="0" applyFont="1" applyBorder="1" applyAlignment="1">
      <alignment horizontal="left" vertical="top" wrapText="1"/>
    </xf>
    <xf numFmtId="0" fontId="25" fillId="0" borderId="50" xfId="0" applyFont="1" applyBorder="1" applyAlignment="1">
      <alignment horizontal="left" vertical="top"/>
    </xf>
    <xf numFmtId="0" fontId="25" fillId="0" borderId="63" xfId="0" applyFont="1" applyBorder="1" applyAlignment="1">
      <alignment horizontal="left" vertical="top"/>
    </xf>
    <xf numFmtId="0" fontId="38" fillId="0" borderId="19" xfId="0" applyFont="1" applyBorder="1" applyAlignment="1">
      <alignment horizontal="left" vertical="top" wrapText="1"/>
    </xf>
    <xf numFmtId="0" fontId="38" fillId="0" borderId="30" xfId="0" applyFont="1" applyBorder="1" applyAlignment="1">
      <alignment horizontal="left" vertical="top" wrapText="1"/>
    </xf>
    <xf numFmtId="0" fontId="2" fillId="11" borderId="22"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11" fillId="0" borderId="80" xfId="0" applyFont="1" applyBorder="1" applyAlignment="1">
      <alignment horizontal="left" vertical="top" wrapText="1"/>
    </xf>
    <xf numFmtId="0" fontId="11" fillId="0" borderId="81" xfId="0" applyFont="1" applyBorder="1" applyAlignment="1">
      <alignment horizontal="left" vertical="top" wrapText="1"/>
    </xf>
    <xf numFmtId="0" fontId="11" fillId="0" borderId="82" xfId="0" applyFont="1" applyBorder="1" applyAlignment="1">
      <alignment horizontal="left" vertical="top" wrapText="1"/>
    </xf>
    <xf numFmtId="0" fontId="2" fillId="11" borderId="66" xfId="0" applyFont="1" applyFill="1" applyBorder="1" applyAlignment="1">
      <alignment horizontal="center" vertical="center" wrapText="1"/>
    </xf>
    <xf numFmtId="0" fontId="2" fillId="11" borderId="49" xfId="0" applyFont="1" applyFill="1" applyBorder="1" applyAlignment="1">
      <alignment horizontal="center" vertical="center" wrapText="1"/>
    </xf>
    <xf numFmtId="0" fontId="2" fillId="11" borderId="67" xfId="0" applyFont="1" applyFill="1" applyBorder="1" applyAlignment="1">
      <alignment horizontal="center" vertical="center" wrapText="1"/>
    </xf>
    <xf numFmtId="0" fontId="22" fillId="27" borderId="40" xfId="0" applyFont="1" applyFill="1" applyBorder="1" applyAlignment="1">
      <alignment horizontal="left"/>
    </xf>
    <xf numFmtId="0" fontId="22" fillId="27" borderId="39" xfId="0" applyFont="1" applyFill="1" applyBorder="1" applyAlignment="1">
      <alignment horizontal="left"/>
    </xf>
    <xf numFmtId="1" fontId="22" fillId="29" borderId="40" xfId="0" applyNumberFormat="1" applyFont="1" applyFill="1" applyBorder="1" applyAlignment="1">
      <alignment horizontal="left" vertical="center" wrapText="1"/>
    </xf>
    <xf numFmtId="1" fontId="22" fillId="29" borderId="39" xfId="0" applyNumberFormat="1" applyFont="1" applyFill="1" applyBorder="1" applyAlignment="1">
      <alignment horizontal="left" vertical="center" wrapText="1"/>
    </xf>
    <xf numFmtId="0" fontId="25" fillId="0" borderId="62" xfId="0" applyFont="1" applyBorder="1" applyAlignment="1">
      <alignment horizontal="left" vertical="top"/>
    </xf>
    <xf numFmtId="0" fontId="25" fillId="0" borderId="83" xfId="0" applyFont="1" applyBorder="1" applyAlignment="1">
      <alignment horizontal="left" vertical="top"/>
    </xf>
    <xf numFmtId="0" fontId="25" fillId="0" borderId="84" xfId="0" applyFont="1" applyBorder="1" applyAlignment="1">
      <alignment horizontal="left" vertical="top"/>
    </xf>
    <xf numFmtId="0" fontId="15" fillId="0" borderId="80" xfId="0" applyFont="1" applyBorder="1" applyAlignment="1">
      <alignment horizontal="left" vertical="top" wrapText="1"/>
    </xf>
    <xf numFmtId="0" fontId="15" fillId="0" borderId="81" xfId="0" applyFont="1" applyBorder="1" applyAlignment="1">
      <alignment horizontal="left" vertical="top" wrapText="1"/>
    </xf>
    <xf numFmtId="0" fontId="15" fillId="0" borderId="82" xfId="0" applyFont="1" applyBorder="1" applyAlignment="1">
      <alignment horizontal="left" vertical="top" wrapText="1"/>
    </xf>
    <xf numFmtId="0" fontId="22" fillId="28" borderId="40" xfId="0" applyFont="1" applyFill="1" applyBorder="1" applyAlignment="1">
      <alignment vertical="center"/>
    </xf>
    <xf numFmtId="0" fontId="22" fillId="28" borderId="39" xfId="0" applyFont="1" applyFill="1" applyBorder="1" applyAlignment="1">
      <alignment vertical="center"/>
    </xf>
    <xf numFmtId="0" fontId="22" fillId="12" borderId="40" xfId="0" applyFont="1" applyFill="1" applyBorder="1" applyAlignment="1">
      <alignment horizontal="left" vertical="center"/>
    </xf>
    <xf numFmtId="0" fontId="22" fillId="12" borderId="39" xfId="0" applyFont="1" applyFill="1" applyBorder="1" applyAlignment="1">
      <alignment horizontal="left" vertical="center"/>
    </xf>
    <xf numFmtId="0" fontId="11" fillId="0" borderId="19" xfId="0" applyFont="1" applyBorder="1" applyAlignment="1">
      <alignment horizontal="left" vertical="top" wrapText="1"/>
    </xf>
    <xf numFmtId="0" fontId="11" fillId="0" borderId="30" xfId="0" applyFont="1" applyBorder="1" applyAlignment="1">
      <alignment horizontal="left" vertical="top" wrapText="1"/>
    </xf>
    <xf numFmtId="0" fontId="11" fillId="0" borderId="25" xfId="0" applyFont="1" applyBorder="1" applyAlignment="1">
      <alignment horizontal="left" vertical="top" wrapText="1"/>
    </xf>
    <xf numFmtId="0" fontId="25" fillId="17" borderId="62" xfId="0" applyFont="1" applyFill="1" applyBorder="1" applyAlignment="1">
      <alignment horizontal="left" vertical="top"/>
    </xf>
    <xf numFmtId="0" fontId="25" fillId="17" borderId="83" xfId="0" applyFont="1" applyFill="1" applyBorder="1" applyAlignment="1">
      <alignment horizontal="left" vertical="top"/>
    </xf>
    <xf numFmtId="0" fontId="11" fillId="17" borderId="85" xfId="0" applyFont="1" applyFill="1" applyBorder="1" applyAlignment="1">
      <alignment horizontal="left" vertical="top" wrapText="1"/>
    </xf>
    <xf numFmtId="0" fontId="11" fillId="17" borderId="86" xfId="0" applyFont="1" applyFill="1" applyBorder="1" applyAlignment="1">
      <alignment horizontal="left" vertical="top" wrapText="1"/>
    </xf>
    <xf numFmtId="0" fontId="11" fillId="17" borderId="87" xfId="0" applyFont="1" applyFill="1" applyBorder="1" applyAlignment="1">
      <alignment horizontal="left" vertical="top" wrapText="1"/>
    </xf>
    <xf numFmtId="0" fontId="46" fillId="0" borderId="80" xfId="0" applyFont="1" applyBorder="1" applyAlignment="1">
      <alignment horizontal="left" vertical="top" wrapText="1"/>
    </xf>
    <xf numFmtId="0" fontId="22" fillId="28" borderId="59" xfId="0" applyFont="1" applyFill="1" applyBorder="1" applyAlignment="1">
      <alignment horizontal="left" vertical="center"/>
    </xf>
    <xf numFmtId="0" fontId="22" fillId="28" borderId="0" xfId="0" applyFont="1" applyFill="1" applyAlignment="1">
      <alignment horizontal="left" vertical="center"/>
    </xf>
    <xf numFmtId="0" fontId="22" fillId="28" borderId="70" xfId="0" applyFont="1" applyFill="1" applyBorder="1" applyAlignment="1">
      <alignment horizontal="left" vertical="center"/>
    </xf>
    <xf numFmtId="0" fontId="22" fillId="12" borderId="59" xfId="0" applyFont="1" applyFill="1" applyBorder="1" applyAlignment="1">
      <alignment horizontal="left" vertical="center"/>
    </xf>
    <xf numFmtId="0" fontId="22" fillId="12" borderId="0" xfId="0" applyFont="1" applyFill="1" applyAlignment="1">
      <alignment horizontal="left" vertical="center"/>
    </xf>
    <xf numFmtId="0" fontId="22" fillId="12" borderId="70" xfId="0" applyFont="1" applyFill="1" applyBorder="1" applyAlignment="1">
      <alignment horizontal="left" vertical="center"/>
    </xf>
    <xf numFmtId="0" fontId="25" fillId="0" borderId="62" xfId="0" applyFont="1" applyBorder="1" applyAlignment="1">
      <alignment horizontal="left"/>
    </xf>
    <xf numFmtId="0" fontId="25" fillId="0" borderId="83" xfId="0" applyFont="1" applyBorder="1" applyAlignment="1">
      <alignment horizontal="left"/>
    </xf>
    <xf numFmtId="0" fontId="25" fillId="0" borderId="84" xfId="0" applyFont="1" applyBorder="1" applyAlignment="1">
      <alignment horizontal="left"/>
    </xf>
    <xf numFmtId="0" fontId="22" fillId="0" borderId="68"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67" xfId="0" applyFont="1" applyBorder="1" applyAlignment="1">
      <alignment horizontal="center" vertical="center" wrapText="1"/>
    </xf>
    <xf numFmtId="165" fontId="64" fillId="0" borderId="23" xfId="3" applyNumberFormat="1" applyFont="1" applyFill="1" applyBorder="1" applyAlignment="1">
      <alignment vertical="center" wrapText="1"/>
    </xf>
    <xf numFmtId="165" fontId="64" fillId="0" borderId="22" xfId="3" applyNumberFormat="1" applyFont="1" applyFill="1" applyBorder="1" applyAlignment="1">
      <alignment vertical="center" wrapText="1"/>
    </xf>
    <xf numFmtId="165" fontId="64" fillId="0" borderId="10" xfId="3" applyNumberFormat="1" applyFont="1" applyFill="1" applyBorder="1" applyAlignment="1">
      <alignment vertical="center" wrapText="1"/>
    </xf>
    <xf numFmtId="0" fontId="11" fillId="0" borderId="50" xfId="0" applyFont="1" applyBorder="1" applyAlignment="1">
      <alignment horizontal="left" wrapText="1"/>
    </xf>
    <xf numFmtId="0" fontId="11" fillId="0" borderId="63" xfId="0" applyFont="1" applyBorder="1" applyAlignment="1">
      <alignment horizontal="left" wrapText="1"/>
    </xf>
    <xf numFmtId="0" fontId="11" fillId="0" borderId="31" xfId="0" applyFont="1" applyBorder="1" applyAlignment="1">
      <alignment horizontal="left" wrapText="1"/>
    </xf>
    <xf numFmtId="0" fontId="11" fillId="0" borderId="51" xfId="0" applyFont="1" applyBorder="1" applyAlignment="1">
      <alignment horizontal="left" wrapText="1"/>
    </xf>
    <xf numFmtId="0" fontId="11" fillId="0" borderId="43" xfId="0" applyFont="1" applyBorder="1" applyAlignment="1">
      <alignment horizontal="left" wrapText="1"/>
    </xf>
    <xf numFmtId="0" fontId="11" fillId="0" borderId="37" xfId="0" applyFont="1" applyBorder="1" applyAlignment="1">
      <alignment horizontal="left" wrapText="1"/>
    </xf>
    <xf numFmtId="0" fontId="25" fillId="17" borderId="50" xfId="0" applyFont="1" applyFill="1" applyBorder="1" applyAlignment="1">
      <alignment horizontal="left"/>
    </xf>
    <xf numFmtId="0" fontId="25" fillId="17" borderId="63" xfId="0" applyFont="1" applyFill="1" applyBorder="1" applyAlignment="1">
      <alignment horizontal="left"/>
    </xf>
    <xf numFmtId="0" fontId="25" fillId="17" borderId="88" xfId="0" applyFont="1" applyFill="1" applyBorder="1" applyAlignment="1">
      <alignment horizontal="left"/>
    </xf>
    <xf numFmtId="0" fontId="25" fillId="17" borderId="89" xfId="0" applyFont="1" applyFill="1" applyBorder="1" applyAlignment="1">
      <alignment horizontal="left"/>
    </xf>
    <xf numFmtId="0" fontId="2" fillId="11" borderId="40" xfId="0" applyFont="1" applyFill="1" applyBorder="1" applyAlignment="1">
      <alignment horizontal="center" vertical="center" wrapText="1"/>
    </xf>
    <xf numFmtId="0" fontId="3" fillId="12" borderId="14" xfId="0" applyFont="1" applyFill="1" applyBorder="1" applyAlignment="1">
      <alignment vertical="center" wrapText="1"/>
    </xf>
    <xf numFmtId="0" fontId="3" fillId="12" borderId="34" xfId="0" applyFont="1" applyFill="1" applyBorder="1" applyAlignment="1">
      <alignment vertical="center" wrapText="1"/>
    </xf>
    <xf numFmtId="0" fontId="3" fillId="12" borderId="11" xfId="0" applyFont="1" applyFill="1" applyBorder="1" applyAlignment="1">
      <alignment vertical="center" wrapText="1"/>
    </xf>
    <xf numFmtId="0" fontId="3" fillId="12" borderId="34" xfId="0" applyFont="1" applyFill="1" applyBorder="1" applyAlignment="1">
      <alignment horizontal="left" vertical="center" wrapText="1"/>
    </xf>
    <xf numFmtId="0" fontId="3" fillId="12" borderId="11" xfId="0" applyFont="1" applyFill="1" applyBorder="1" applyAlignment="1">
      <alignment horizontal="left" vertical="center" wrapText="1"/>
    </xf>
    <xf numFmtId="0" fontId="11" fillId="0" borderId="0" xfId="0" applyFont="1" applyAlignment="1">
      <alignment horizontal="left" vertical="center" wrapText="1"/>
    </xf>
    <xf numFmtId="0" fontId="41" fillId="17" borderId="0" xfId="0" applyFont="1" applyFill="1" applyAlignment="1">
      <alignment horizontal="left" vertical="top" wrapText="1"/>
    </xf>
    <xf numFmtId="0" fontId="43" fillId="12" borderId="14" xfId="10" applyFill="1" applyBorder="1" applyAlignment="1">
      <alignment vertical="center" wrapText="1"/>
    </xf>
    <xf numFmtId="0" fontId="43" fillId="12" borderId="34" xfId="10" applyFill="1" applyBorder="1" applyAlignment="1">
      <alignment vertical="center" wrapText="1"/>
    </xf>
    <xf numFmtId="0" fontId="43" fillId="12" borderId="11" xfId="10" applyFill="1" applyBorder="1" applyAlignment="1">
      <alignment vertical="center" wrapText="1"/>
    </xf>
    <xf numFmtId="0" fontId="19" fillId="17" borderId="57" xfId="0" applyFont="1" applyFill="1" applyBorder="1" applyAlignment="1">
      <alignment horizontal="left" vertical="top" wrapText="1"/>
    </xf>
    <xf numFmtId="0" fontId="19" fillId="17" borderId="0" xfId="0" applyFont="1" applyFill="1" applyAlignment="1">
      <alignment horizontal="left" vertical="top" wrapText="1"/>
    </xf>
    <xf numFmtId="0" fontId="15" fillId="17" borderId="0" xfId="0" applyFont="1" applyFill="1" applyAlignment="1">
      <alignment horizontal="left" vertical="top" wrapText="1"/>
    </xf>
    <xf numFmtId="0" fontId="41" fillId="17" borderId="0" xfId="0" applyFont="1" applyFill="1" applyAlignment="1">
      <alignment horizontal="left" wrapText="1"/>
    </xf>
    <xf numFmtId="0" fontId="23" fillId="25" borderId="19" xfId="0" applyFont="1" applyFill="1" applyBorder="1" applyAlignment="1">
      <alignment horizontal="center"/>
    </xf>
    <xf numFmtId="0" fontId="23" fillId="25" borderId="30" xfId="0" applyFont="1" applyFill="1" applyBorder="1" applyAlignment="1">
      <alignment horizontal="center"/>
    </xf>
    <xf numFmtId="0" fontId="23" fillId="25" borderId="25" xfId="0" applyFont="1" applyFill="1" applyBorder="1" applyAlignment="1">
      <alignment horizontal="center"/>
    </xf>
    <xf numFmtId="0" fontId="14" fillId="38" borderId="19" xfId="0" applyFont="1" applyFill="1" applyBorder="1" applyAlignment="1">
      <alignment horizontal="center"/>
    </xf>
    <xf numFmtId="0" fontId="14" fillId="38" borderId="30" xfId="0" applyFont="1" applyFill="1" applyBorder="1" applyAlignment="1">
      <alignment horizontal="center"/>
    </xf>
    <xf numFmtId="0" fontId="14" fillId="38" borderId="25" xfId="0" applyFont="1" applyFill="1" applyBorder="1" applyAlignment="1">
      <alignment horizontal="center"/>
    </xf>
  </cellXfs>
  <cellStyles count="37">
    <cellStyle name="Calculation 2" xfId="12" xr:uid="{00000000-0005-0000-0000-000019000000}"/>
    <cellStyle name="Calculation 3" xfId="11" xr:uid="{00000000-0005-0000-0000-00001A000000}"/>
    <cellStyle name="Comma" xfId="3" builtinId="3"/>
    <cellStyle name="Comma 2" xfId="7" xr:uid="{00000000-0005-0000-0000-00001D000000}"/>
    <cellStyle name="Comma 2 2" xfId="14" xr:uid="{00000000-0005-0000-0000-00001E000000}"/>
    <cellStyle name="Comma 2 2 2" xfId="33" xr:uid="{00000000-0005-0000-0000-00001F000000}"/>
    <cellStyle name="Comma 2 3" xfId="26" xr:uid="{00000000-0005-0000-0000-000020000000}"/>
    <cellStyle name="Comma 2 3 2" xfId="34" xr:uid="{00000000-0005-0000-0000-000021000000}"/>
    <cellStyle name="Comma 2 4" xfId="27" xr:uid="{00000000-0005-0000-0000-000022000000}"/>
    <cellStyle name="Comma 2 4 2" xfId="35" xr:uid="{00000000-0005-0000-0000-000023000000}"/>
    <cellStyle name="Comma 2 5" xfId="30" xr:uid="{00000000-0005-0000-0000-000024000000}"/>
    <cellStyle name="Comma 2 6" xfId="36" xr:uid="{00000000-0005-0000-0000-000025000000}"/>
    <cellStyle name="Comma 3" xfId="13" xr:uid="{00000000-0005-0000-0000-000026000000}"/>
    <cellStyle name="Comma 3 2" xfId="32" xr:uid="{00000000-0005-0000-0000-000027000000}"/>
    <cellStyle name="Comma 3 4" xfId="9" xr:uid="{00000000-0005-0000-0000-000028000000}"/>
    <cellStyle name="Comma 3 4 2" xfId="31" xr:uid="{00000000-0005-0000-0000-000029000000}"/>
    <cellStyle name="Comma 4" xfId="28" xr:uid="{00000000-0005-0000-0000-00002A000000}"/>
    <cellStyle name="Currency 2" xfId="6" xr:uid="{00000000-0005-0000-0000-00002B000000}"/>
    <cellStyle name="Currency 2 2" xfId="29" xr:uid="{00000000-0005-0000-0000-00002C000000}"/>
    <cellStyle name="Explanatory Text 2" xfId="15" xr:uid="{00000000-0005-0000-0000-00002D000000}"/>
    <cellStyle name="Followed Hyperlink 2" xfId="16" xr:uid="{00000000-0005-0000-0000-00002E000000}"/>
    <cellStyle name="Hyperlink" xfId="10" builtinId="8"/>
    <cellStyle name="Hyperlink 2" xfId="5" xr:uid="{00000000-0005-0000-0000-000031000000}"/>
    <cellStyle name="Hyperlink 3" xfId="8" xr:uid="{00000000-0005-0000-0000-000032000000}"/>
    <cellStyle name="Input 2" xfId="17" xr:uid="{00000000-0005-0000-0000-000033000000}"/>
    <cellStyle name="Input data" xfId="18" xr:uid="{00000000-0005-0000-0000-000034000000}"/>
    <cellStyle name="Linked Cell 2" xfId="19" xr:uid="{00000000-0005-0000-0000-000035000000}"/>
    <cellStyle name="Normal" xfId="0" builtinId="0"/>
    <cellStyle name="Normal 2" xfId="2" xr:uid="{00000000-0005-0000-0000-000038000000}"/>
    <cellStyle name="Normal 2 2" xfId="4" xr:uid="{00000000-0005-0000-0000-000039000000}"/>
    <cellStyle name="Normal 2 2 2" xfId="20" xr:uid="{00000000-0005-0000-0000-00003A000000}"/>
    <cellStyle name="Note 2" xfId="21" xr:uid="{00000000-0005-0000-0000-00003B000000}"/>
    <cellStyle name="Output 2" xfId="22" xr:uid="{00000000-0005-0000-0000-00003C000000}"/>
    <cellStyle name="Percent" xfId="1" builtinId="5"/>
    <cellStyle name="Percent 2" xfId="23" xr:uid="{00000000-0005-0000-0000-00003E000000}"/>
    <cellStyle name="Selection" xfId="24" xr:uid="{00000000-0005-0000-0000-00003F000000}"/>
    <cellStyle name="Warning Text 2" xfId="25" xr:uid="{00000000-0005-0000-0000-000041000000}"/>
  </cellStyles>
  <dxfs count="61">
    <dxf>
      <fill>
        <patternFill patternType="darkUp">
          <bgColor theme="0" tint="-4.9989318521683403E-2"/>
        </patternFill>
      </fill>
    </dxf>
    <dxf>
      <fill>
        <patternFill>
          <bgColor rgb="FF27CCF9"/>
        </patternFill>
      </fill>
    </dxf>
    <dxf>
      <fill>
        <patternFill patternType="darkUp">
          <bgColor theme="0" tint="-4.9989318521683403E-2"/>
        </patternFill>
      </fill>
    </dxf>
    <dxf>
      <fill>
        <patternFill>
          <bgColor rgb="FF27CCF9"/>
        </patternFill>
      </fill>
    </dxf>
    <dxf>
      <fill>
        <patternFill>
          <bgColor rgb="FF92D050"/>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006100"/>
      </font>
      <fill>
        <patternFill patternType="solid">
          <fgColor indexed="64"/>
          <bgColor rgb="FFF2F2F2"/>
        </patternFill>
      </fill>
    </dxf>
    <dxf>
      <font>
        <color rgb="FFC00000"/>
      </font>
      <fill>
        <patternFill>
          <bgColor rgb="FFF2F2F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patternType="solid">
          <fgColor indexed="64"/>
          <bgColor rgb="FFF2F2F2"/>
        </patternFill>
      </fill>
    </dxf>
    <dxf>
      <font>
        <color rgb="FFC00000"/>
      </font>
      <fill>
        <patternFill>
          <bgColor rgb="FFF2F2F2"/>
        </patternFill>
      </fill>
    </dxf>
    <dxf>
      <font>
        <color rgb="FF9C0006"/>
      </font>
      <fill>
        <patternFill>
          <bgColor rgb="FFFFC7CE"/>
        </patternFill>
      </fill>
    </dxf>
    <dxf>
      <font>
        <color rgb="FF9C0006"/>
      </font>
      <fill>
        <patternFill>
          <bgColor rgb="FFFFC7CE"/>
        </patternFill>
      </fill>
    </dxf>
    <dxf>
      <font>
        <color rgb="FF006100"/>
      </font>
      <fill>
        <patternFill patternType="solid">
          <fgColor indexed="64"/>
          <bgColor rgb="FFF2F2F2"/>
        </patternFill>
      </fill>
    </dxf>
    <dxf>
      <font>
        <color rgb="FFC00000"/>
      </font>
      <fill>
        <patternFill>
          <bgColor rgb="FFF2F2F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border outline="0">
        <top style="medium">
          <color rgb="FFFFFFFF"/>
        </top>
      </border>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1"/>
        <color auto="1"/>
        <name val="Calibri"/>
        <scheme val="minor"/>
      </font>
      <fill>
        <patternFill patternType="solid">
          <fgColor indexed="64"/>
          <bgColor rgb="FF70DBFC"/>
        </patternFill>
      </fill>
      <alignment horizontal="general" vertical="center" textRotation="0" wrapText="1" indent="0" justifyLastLine="0" shrinkToFit="0" readingOrder="0"/>
    </dxf>
    <dxf>
      <border outline="0">
        <bottom style="medium">
          <color rgb="FFFFFFFF"/>
        </bottom>
      </border>
    </dxf>
    <dxf>
      <border outline="0">
        <top style="medium">
          <color rgb="FFFFFFFF"/>
        </top>
      </border>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1"/>
        <color auto="1"/>
        <name val="Calibri"/>
        <scheme val="minor"/>
      </font>
      <fill>
        <patternFill patternType="solid">
          <fgColor indexed="64"/>
          <bgColor rgb="FF70DBFC"/>
        </patternFill>
      </fill>
      <alignment horizontal="general" vertical="center" textRotation="0" wrapText="1" indent="0" justifyLastLine="0" shrinkToFit="0" readingOrder="0"/>
    </dxf>
    <dxf>
      <border outline="0">
        <bottom style="medium">
          <color rgb="FFFFFFFF"/>
        </bottom>
      </border>
    </dxf>
    <dxf>
      <border outline="0">
        <left style="medium">
          <color rgb="FFFFFFFF"/>
        </left>
        <right style="medium">
          <color rgb="FFFFFFFF"/>
        </right>
        <bottom style="medium">
          <color theme="1" tint="0.34998626667073579"/>
        </bottom>
      </border>
    </dxf>
    <dxf>
      <font>
        <strike val="0"/>
        <outline val="0"/>
        <shadow val="0"/>
        <u val="none"/>
        <sz val="10"/>
      </font>
    </dxf>
    <dxf>
      <border outline="0">
        <left style="thin">
          <color theme="0"/>
        </left>
        <right style="medium">
          <color rgb="FFFFFFFF"/>
        </right>
        <bottom style="medium">
          <color rgb="FFFFFFFF"/>
        </bottom>
      </border>
    </dxf>
    <dxf>
      <font>
        <strike val="0"/>
        <outline val="0"/>
        <shadow val="0"/>
        <u val="none"/>
        <vertAlign val="baseline"/>
        <sz val="10"/>
        <color auto="1"/>
        <name val="Calibri"/>
        <scheme val="minor"/>
      </font>
    </dxf>
    <dxf>
      <border outline="0">
        <top style="medium">
          <color rgb="FFFFFFFF"/>
        </top>
      </border>
    </dxf>
    <dxf>
      <border outline="0">
        <left style="medium">
          <color rgb="FFFFFFFF"/>
        </left>
        <right style="medium">
          <color rgb="FFFFFFFF"/>
        </right>
        <top style="thin">
          <color theme="0"/>
        </top>
        <bottom style="medium">
          <color rgb="FFFFFFFF"/>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dxf>
    <dxf>
      <border outline="0">
        <bottom style="medium">
          <color rgb="FFFFFFFF"/>
        </bottom>
      </border>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dxf>
    <dxf>
      <border outline="0">
        <top style="medium">
          <color rgb="FFFFFFFF"/>
        </top>
      </border>
    </dxf>
    <dxf>
      <border outline="0">
        <left style="medium">
          <color rgb="FFFFFFFF"/>
        </left>
        <right style="medium">
          <color rgb="FFFFFFFF"/>
        </right>
        <bottom style="medium">
          <color rgb="FFFFFFFF"/>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dxf>
    <dxf>
      <border outline="0">
        <bottom style="medium">
          <color rgb="FFFFFFFF"/>
        </bottom>
      </border>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dxf>
    <dxf>
      <border outline="0">
        <top style="medium">
          <color rgb="FFFFFFFF"/>
        </top>
      </border>
    </dxf>
    <dxf>
      <border outline="0">
        <left style="medium">
          <color rgb="FFFFFFFF"/>
        </left>
        <right style="medium">
          <color rgb="FFFFFFFF"/>
        </right>
        <bottom style="medium">
          <color rgb="FFFFFFFF"/>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dxf>
    <dxf>
      <border outline="0">
        <bottom style="medium">
          <color rgb="FFFFFFFF"/>
        </bottom>
      </border>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dxf>
    <dxf>
      <border outline="0">
        <left style="medium">
          <color theme="0"/>
        </left>
        <right style="medium">
          <color rgb="FFFFFFFF"/>
        </right>
        <bottom style="thin">
          <color theme="0"/>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protection locked="1" hidden="0"/>
    </dxf>
    <dxf>
      <border outline="0">
        <left style="medium">
          <color theme="0"/>
        </left>
        <right style="medium">
          <color rgb="FFFFFFFF"/>
        </right>
        <bottom style="thin">
          <color theme="0"/>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protection locked="1" hidden="0"/>
    </dxf>
    <dxf>
      <border outline="0">
        <left style="medium">
          <color theme="0"/>
        </left>
        <right style="medium">
          <color rgb="FFFFFFFF"/>
        </right>
        <bottom style="thin">
          <color theme="0"/>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uildingsTable" displayName="BuildingsTable" ref="B7:P37" totalsRowShown="0" headerRowDxfId="60" dataDxfId="59" tableBorderDxfId="58">
  <autoFilter ref="B7:P37" xr:uid="{00000000-0009-0000-0100-000001000000}"/>
  <tableColumns count="15">
    <tableColumn id="1" xr3:uid="{00000000-0010-0000-0000-000001000000}" name="Ownership structure"/>
    <tableColumn id="2" xr3:uid="{00000000-0010-0000-0000-000002000000}" name="Fuel/emission source"/>
    <tableColumn id="3" xr3:uid="{00000000-0010-0000-0000-000003000000}" name="Category 1"/>
    <tableColumn id="6" xr3:uid="{00000000-0010-0000-0000-000006000000}" name="Data"/>
    <tableColumn id="7" xr3:uid="{00000000-0010-0000-0000-000007000000}" name="Units"/>
    <tableColumn id="8" xr3:uid="{00000000-0010-0000-0000-000008000000}" name="Converted data">
      <calculatedColumnFormula array="1">IF(OR($C8="",$B8="",$E8="",$F8=""),"",IF(F8=H8,E8,(INDEX('Emission factors'!$K$3:$V$201,MATCH(C8&amp;D8,'Emission factors'!$J$3:$J$201&amp;'Emission factors'!$K$3:$K$201,0),MATCH(G$7,'Emission factors'!$K$2:$V$2,0)))*E8))</calculatedColumnFormula>
    </tableColumn>
    <tableColumn id="9" xr3:uid="{00000000-0010-0000-0000-000009000000}" name="Standard units">
      <calculatedColumnFormula>IF(OR($C8="",$B8="",$E8="",$F8=""),"",INDEX('Emission factors'!$K$3:$V$201,MATCH('Buildings, Fleet &amp; Equipment'!$C8,'Emission factors'!$J$3:$J$201,0),MATCH($H$7,'Emission factors'!$K$2:$V$2,0)))</calculatedColumnFormula>
    </tableColumn>
    <tableColumn id="10" xr3:uid="{00000000-0010-0000-0000-00000A000000}" name="Total EF (kgCO2e/unit)">
      <calculatedColumnFormula array="1">IF(OR(C8="",E8="",BuildingsTable[[#This Row],[Units]]=""),"",INDEX('Emission factors'!$K$3:$V$201,MATCH('Buildings, Fleet &amp; Equipment'!$C8&amp;D8,'Emission factors'!$J$3:$J$201&amp;'Emission factors'!$K$3:$K$201,0),MATCH('Buildings, Fleet &amp; Equipment'!$I$7,'Emission factors'!$K$2:$V$2,0)))</calculatedColumnFormula>
    </tableColumn>
    <tableColumn id="11" xr3:uid="{00000000-0010-0000-0000-00000B000000}" name="Total emissions (kgCO2e)">
      <calculatedColumnFormula>IF(OR(G8="",I8=""),"",SUM(BuildingsTable[[#This Row],[Direct]:[Indirect WTT]]))</calculatedColumnFormula>
    </tableColumn>
    <tableColumn id="12" xr3:uid="{00000000-0010-0000-0000-00000C000000}" name="Notes"/>
    <tableColumn id="14" xr3:uid="{00000000-0010-0000-0000-00000E000000}" name="Direct">
      <calculatedColumnFormula array="1">IF(OR($C8="",$E8=""),"",(INDEX('Emission factors'!$K$3:$V$201,MATCH('Buildings, Fleet &amp; Equipment'!$C8&amp;$D8,'Emission factors'!$J$3:$J$201&amp;'Emission factors'!$K$3:$K$201,0),MATCH('Buildings, Fleet &amp; Equipment'!L$7,'Emission factors'!$K$2:$V$2,0)))*$G8)</calculatedColumnFormula>
    </tableColumn>
    <tableColumn id="15" xr3:uid="{00000000-0010-0000-0000-00000F000000}" name="Indirect generation">
      <calculatedColumnFormula array="1">IF(OR($C8="",$E8=""),"",(INDEX('Emission factors'!$K$3:$V$201,MATCH('Buildings, Fleet &amp; Equipment'!$C8&amp;$D8,'Emission factors'!$J$3:$J$201&amp;'Emission factors'!$K$3:$K$201,0),MATCH('Buildings, Fleet &amp; Equipment'!M$7,'Emission factors'!$K$2:$V$2,0)))*$G8)</calculatedColumnFormula>
    </tableColumn>
    <tableColumn id="16" xr3:uid="{00000000-0010-0000-0000-000010000000}" name="Indirect service">
      <calculatedColumnFormula array="1">IF(OR($C8="",$E8=""),"",(INDEX('Emission factors'!$K$3:$V$201,MATCH('Buildings, Fleet &amp; Equipment'!$C8&amp;$D8,'Emission factors'!$J$3:$J$201&amp;'Emission factors'!$K$3:$K$201,0),MATCH('Buildings, Fleet &amp; Equipment'!N$7,'Emission factors'!$K$2:$V$2,0)))*$G8)</calculatedColumnFormula>
    </tableColumn>
    <tableColumn id="17" xr3:uid="{00000000-0010-0000-0000-000011000000}" name="Indirect T&amp;D">
      <calculatedColumnFormula array="1">IF(OR($C8="",$E8=""),"",(INDEX('Emission factors'!$K$3:$V$201,MATCH('Buildings, Fleet &amp; Equipment'!$C8&amp;$D8,'Emission factors'!$J$3:$J$201&amp;'Emission factors'!$K$3:$K$201,0),MATCH('Buildings, Fleet &amp; Equipment'!O$7,'Emission factors'!$K$2:$V$2,0)))*$G8)</calculatedColumnFormula>
    </tableColumn>
    <tableColumn id="18" xr3:uid="{00000000-0010-0000-0000-000012000000}" name="Indirect WTT">
      <calculatedColumnFormula array="1">IF(OR($C8="",$E8=""),"",(INDEX('Emission factors'!$K$3:$V$201,MATCH('Buildings, Fleet &amp; Equipment'!$C8&amp;$D8,'Emission factors'!$J$3:$J$201&amp;'Emission factors'!$K$3:$K$201,0),MATCH('Buildings, Fleet &amp; Equipment'!P$7,'Emission factors'!$K$2:$V$2,0)))*$G8)</calculatedColumnFormula>
    </tableColum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PurchasedRenewablesTable" displayName="PurchasedRenewablesTable" ref="B24:G38" totalsRowShown="0" dataDxfId="27" headerRowBorderDxfId="28" tableBorderDxfId="26" totalsRowBorderDxfId="25">
  <autoFilter ref="B24:G38" xr:uid="{00000000-0009-0000-0100-00000D000000}"/>
  <tableColumns count="6">
    <tableColumn id="1" xr3:uid="{00000000-0010-0000-0900-000001000000}" name="Renewable Type"/>
    <tableColumn id="2" xr3:uid="{00000000-0010-0000-0900-000002000000}" name="Agreement"/>
    <tableColumn id="5" xr3:uid="{00000000-0010-0000-0900-000005000000}" name="Total kWh purchased"/>
    <tableColumn id="6" xr3:uid="{00000000-0010-0000-0900-000006000000}" name="Not used"/>
    <tableColumn id="7" xr3:uid="{00000000-0010-0000-0900-000007000000}" name="Not used2">
      <calculatedColumnFormula>IF(OR(PurchasedRenewablesTable[[#This Row],[Total kWh purchased]]="",PurchasedRenewablesTable[[#This Row],[Not used]]=""),"",PurchasedRenewablesTable[[#This Row],[Total kWh purchased]]*PurchasedRenewablesTable[[#This Row],[Not used]])</calculatedColumnFormula>
    </tableColumn>
    <tableColumn id="8" xr3:uid="{00000000-0010-0000-0900-000008000000}" name="Not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FleetTableFuel" displayName="FleetTableFuel" ref="B41:P52" totalsRowShown="0" headerRowDxfId="57" dataDxfId="56" tableBorderDxfId="55">
  <autoFilter ref="B41:P52" xr:uid="{00000000-0009-0000-0100-000003000000}"/>
  <tableColumns count="15">
    <tableColumn id="1" xr3:uid="{00000000-0010-0000-0100-000001000000}" name="Type"/>
    <tableColumn id="2" xr3:uid="{00000000-0010-0000-0100-000002000000}" name="Fuel"/>
    <tableColumn id="3" xr3:uid="{00000000-0010-0000-0100-000003000000}" name="Category 1"/>
    <tableColumn id="6" xr3:uid="{00000000-0010-0000-0100-000006000000}" name="Data"/>
    <tableColumn id="7" xr3:uid="{00000000-0010-0000-0100-000007000000}" name="Units"/>
    <tableColumn id="8" xr3:uid="{00000000-0010-0000-0100-000008000000}" name="Converted data">
      <calculatedColumnFormula array="1">IF(OR($C42="",$B42="",$E42="",$F42=""),"",IF(F42=H42,E42,(INDEX('Emission factors'!$K$3:$V$201,MATCH(C42&amp;D42,'Emission factors'!$J$3:$J$201&amp;'Emission factors'!$K$3:$K$201,0),MATCH(G$41,'Emission factors'!$K$2:$V$2,0)))*E42))</calculatedColumnFormula>
    </tableColumn>
    <tableColumn id="9" xr3:uid="{00000000-0010-0000-0100-000009000000}" name="Standard units">
      <calculatedColumnFormula>IF(OR($C42="",$B42="",$E42="",$F42=""),"",INDEX('Emission factors'!$K$3:$V$201,MATCH('Buildings, Fleet &amp; Equipment'!$C42,'Emission factors'!$J$3:$J$201,0),MATCH($H$41,'Emission factors'!$K$2:$V$2,0)))</calculatedColumnFormula>
    </tableColumn>
    <tableColumn id="10" xr3:uid="{00000000-0010-0000-0100-00000A000000}" name="Total EF (kgCO2e/unit)">
      <calculatedColumnFormula array="1">IF(OR(C42="",E42="",FleetTableFuel[[#This Row],[Units]]=""),"",INDEX('Emission factors'!$K$3:$V$201,MATCH('Buildings, Fleet &amp; Equipment'!$C42&amp;D42,'Emission factors'!$J$3:$J$201&amp;'Emission factors'!$K$3:$K$201,0),MATCH('Buildings, Fleet &amp; Equipment'!$I$41,'Emission factors'!$K$2:$V$2,0)))</calculatedColumnFormula>
    </tableColumn>
    <tableColumn id="11" xr3:uid="{00000000-0010-0000-0100-00000B000000}" name="Total emissions (kgCO2e)">
      <calculatedColumnFormula>IF(OR(G42="",I42=""),"",SUM(FleetTableFuel[[#This Row],[Direct]:[Indirect WTT]]))</calculatedColumnFormula>
    </tableColumn>
    <tableColumn id="12" xr3:uid="{00000000-0010-0000-0100-00000C000000}" name="Notes"/>
    <tableColumn id="14" xr3:uid="{00000000-0010-0000-0100-00000E000000}" name="Direct">
      <calculatedColumnFormula array="1">IF(OR($C42="",$E42=""),"",(INDEX('Emission factors'!$K$3:$V$201,MATCH('Buildings, Fleet &amp; Equipment'!$C42&amp;$D42,'Emission factors'!$J$3:$J$201&amp;'Emission factors'!$K$3:$K$201,0),MATCH('Buildings, Fleet &amp; Equipment'!L$7,'Emission factors'!$K$2:$V$2,0)))*$G42)</calculatedColumnFormula>
    </tableColumn>
    <tableColumn id="15" xr3:uid="{00000000-0010-0000-0100-00000F000000}" name="Indirect generation">
      <calculatedColumnFormula array="1">IF(OR($C42="",$E42=""),"",(INDEX('Emission factors'!$K$3:$V$201,MATCH('Buildings, Fleet &amp; Equipment'!$C42&amp;$D42,'Emission factors'!$J$3:$J$201&amp;'Emission factors'!$K$3:$K$201,0),MATCH('Buildings, Fleet &amp; Equipment'!M$7,'Emission factors'!$K$2:$V$2,0)))*$G42)</calculatedColumnFormula>
    </tableColumn>
    <tableColumn id="16" xr3:uid="{00000000-0010-0000-0100-000010000000}" name="Indirect service">
      <calculatedColumnFormula array="1">IF(OR($C42="",$E42=""),"",(INDEX('Emission factors'!$K$3:$V$201,MATCH('Buildings, Fleet &amp; Equipment'!$C42&amp;$D42,'Emission factors'!$J$3:$J$201&amp;'Emission factors'!$K$3:$K$201,0),MATCH('Buildings, Fleet &amp; Equipment'!N$7,'Emission factors'!$K$2:$V$2,0)))*$G42)</calculatedColumnFormula>
    </tableColumn>
    <tableColumn id="17" xr3:uid="{00000000-0010-0000-0100-000011000000}" name="Indirect T&amp;D">
      <calculatedColumnFormula array="1">IF(OR($C42="",$E42=""),"",(INDEX('Emission factors'!$K$3:$V$201,MATCH('Buildings, Fleet &amp; Equipment'!$C42&amp;$D42,'Emission factors'!$J$3:$J$201&amp;'Emission factors'!$K$3:$K$201,0),MATCH('Buildings, Fleet &amp; Equipment'!O$7,'Emission factors'!$K$2:$V$2,0)))*$G42)</calculatedColumnFormula>
    </tableColumn>
    <tableColumn id="18" xr3:uid="{00000000-0010-0000-0100-000012000000}" name="Indirect WTT">
      <calculatedColumnFormula array="1">IF(OR($C42="",$E42=""),"",(INDEX('Emission factors'!$K$3:$V$201,MATCH('Buildings, Fleet &amp; Equipment'!$C42&amp;$D42,'Emission factors'!$J$3:$J$201&amp;'Emission factors'!$K$3:$K$201,0),MATCH('Buildings, Fleet &amp; Equipment'!P$7,'Emission factors'!$K$2:$V$2,0)))*$G42)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2000000}" name="FleetTableDistance" displayName="FleetTableDistance" ref="B55:P66" totalsRowShown="0" headerRowDxfId="54" dataDxfId="53" tableBorderDxfId="52">
  <autoFilter ref="B55:P66" xr:uid="{00000000-0009-0000-0100-000011000000}"/>
  <tableColumns count="15">
    <tableColumn id="1" xr3:uid="{00000000-0010-0000-0200-000001000000}" name="Type"/>
    <tableColumn id="2" xr3:uid="{00000000-0010-0000-0200-000002000000}" name="Fuel"/>
    <tableColumn id="3" xr3:uid="{00000000-0010-0000-0200-000003000000}" name="Size"/>
    <tableColumn id="6" xr3:uid="{00000000-0010-0000-0200-000006000000}" name="Data"/>
    <tableColumn id="7" xr3:uid="{00000000-0010-0000-0200-000007000000}" name="Units"/>
    <tableColumn id="8" xr3:uid="{00000000-0010-0000-0200-000008000000}" name="Converted data">
      <calculatedColumnFormula array="1">IF(OR($C56="",$B56="",$E56="",$F56=""),"",IF(F56=H56,E56,(INDEX('Emission factors'!$K$3:$V$201,MATCH(B56&amp;D56,'Emission factors'!$J$3:$J$201&amp;'Emission factors'!$K$3:$K$201,0),MATCH(G$41,'Emission factors'!$K$2:$V$2,0)))*E56))</calculatedColumnFormula>
    </tableColumn>
    <tableColumn id="9" xr3:uid="{00000000-0010-0000-0200-000009000000}" name="Standard units">
      <calculatedColumnFormula>IF(OR($C56="",$B56="",$E56="",$F56=""),"",INDEX('Emission factors'!$K$3:$V$212,MATCH('Buildings, Fleet &amp; Equipment'!$B56,'Emission factors'!$J$3:$J$212,0),MATCH($H$55,'Emission factors'!$K$2:$V$2,0)))</calculatedColumnFormula>
    </tableColumn>
    <tableColumn id="10" xr3:uid="{00000000-0010-0000-0200-00000A000000}" name="Total EF (kgCO2e/unit)">
      <calculatedColumnFormula array="1">IF(OR(FleetTableDistance[[#This Row],[Type]]="",C56="",E56=""),"",INDEX('Emission factors'!$K$3:$V$212,MATCH('Buildings, Fleet &amp; Equipment'!$B56&amp;C56&amp;FleetTableDistance[[#This Row],[Size]],'Emission factors'!$J$3:$J$212&amp;'Emission factors'!$L$3:$L$212&amp;'Emission factors'!$K$3:$K$212,0),MATCH('Buildings, Fleet &amp; Equipment'!$I$41,'Emission factors'!$K$2:$V$2,0)))</calculatedColumnFormula>
    </tableColumn>
    <tableColumn id="11" xr3:uid="{00000000-0010-0000-0200-00000B000000}" name="Total emissions (kgCO2e)">
      <calculatedColumnFormula>IF(OR(G56="",I56=""),"",SUM(FleetTableDistance[[#This Row],[Direct]:[Indirect WTT]]))</calculatedColumnFormula>
    </tableColumn>
    <tableColumn id="12" xr3:uid="{00000000-0010-0000-0200-00000C000000}" name="Notes"/>
    <tableColumn id="14" xr3:uid="{00000000-0010-0000-0200-00000E000000}" name="Direct">
      <calculatedColumnFormula array="1">IF(OR($C56="",$E56=""),"",(INDEX('Emission factors'!$K$3:$V$379,MATCH(FleetTableDistance[[#This Row],[Type]]&amp;$C56&amp;$D56,'Emission factors'!$J$3:$J$379&amp;'Emission factors'!$L$3:$L$379&amp;'Emission factors'!$K$3:$K$379,0),MATCH('Buildings, Fleet &amp; Equipment'!L$7,'Emission factors'!$K$2:$V$2,0)))*$G56)</calculatedColumnFormula>
    </tableColumn>
    <tableColumn id="15" xr3:uid="{00000000-0010-0000-0200-00000F000000}" name="Indirect generation">
      <calculatedColumnFormula array="1">IF(OR($C56="",$E56=""),"",(INDEX('Emission factors'!$K$3:$V$212,MATCH(FleetTableDistance[[#This Row],[Type]]&amp;$C56&amp;$D56,'Emission factors'!$J$3:$J$212&amp;'Emission factors'!$L$3:$L$212&amp;'Emission factors'!$K$3:$K$212,0),MATCH('Buildings, Fleet &amp; Equipment'!M$7,'Emission factors'!$K$2:$V$2,0)))*$G56)</calculatedColumnFormula>
    </tableColumn>
    <tableColumn id="16" xr3:uid="{00000000-0010-0000-0200-000010000000}" name="Indirect service">
      <calculatedColumnFormula array="1">IF(OR($C56="",$E56=""),"",(INDEX('Emission factors'!$K$3:$V$212,MATCH(FleetTableDistance[[#This Row],[Type]]&amp;$C56&amp;$D56,'Emission factors'!$J$3:$J$212&amp;'Emission factors'!$L$3:$L$212&amp;'Emission factors'!$K$3:$K$212,0),MATCH('Buildings, Fleet &amp; Equipment'!N$7,'Emission factors'!$K$2:$V$2,0)))*$G56)</calculatedColumnFormula>
    </tableColumn>
    <tableColumn id="17" xr3:uid="{00000000-0010-0000-0200-000011000000}" name="Indirect T&amp;D">
      <calculatedColumnFormula array="1">IF(OR($C56="",$E56=""),"",(INDEX('Emission factors'!$K$3:$V$212,MATCH(FleetTableDistance[[#This Row],[Type]]&amp;$C56&amp;$D56,'Emission factors'!$J$3:$J$212&amp;'Emission factors'!$L$3:$L$212&amp;'Emission factors'!$K$3:$K$212,0),MATCH('Buildings, Fleet &amp; Equipment'!O$7,'Emission factors'!$K$2:$V$2,0)))*$G56)</calculatedColumnFormula>
    </tableColumn>
    <tableColumn id="18" xr3:uid="{00000000-0010-0000-0200-000012000000}" name="Indirect WTT">
      <calculatedColumnFormula array="1">IF(OR($C56="",$E56=""),"",(INDEX('Emission factors'!$K$3:$V$212,MATCH(FleetTableDistance[[#This Row],[Type]]&amp;$C56&amp;$D56,'Emission factors'!$J$3:$J$212&amp;'Emission factors'!$L$3:$L$212&amp;'Emission factors'!$K$3:$K$212,0),MATCH('Buildings, Fleet &amp; Equipment'!P$7,'Emission factors'!$K$2:$V$2,0)))*$G56)</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BusinessTable" displayName="BusinessTable" ref="B7:P27" totalsRowShown="0" headerRowDxfId="51" dataDxfId="49" headerRowBorderDxfId="50" tableBorderDxfId="48" totalsRowBorderDxfId="47">
  <autoFilter ref="B7:P27" xr:uid="{00000000-0009-0000-0100-000004000000}"/>
  <tableColumns count="15">
    <tableColumn id="1" xr3:uid="{00000000-0010-0000-0300-000001000000}" name="Emission source"/>
    <tableColumn id="2" xr3:uid="{00000000-0010-0000-0300-000002000000}" name="Category 1"/>
    <tableColumn id="3" xr3:uid="{00000000-0010-0000-0300-000003000000}" name="Category 2"/>
    <tableColumn id="6" xr3:uid="{00000000-0010-0000-0300-000006000000}" name="Data"/>
    <tableColumn id="7" xr3:uid="{00000000-0010-0000-0300-000007000000}" name="Units"/>
    <tableColumn id="8" xr3:uid="{00000000-0010-0000-0300-000008000000}" name="Converted data">
      <calculatedColumnFormula array="1">IF(OR($B8="",$C8="",$D8="",F8=""),"",IF(F8=H8,E8,(INDEX('Emission factors'!$K$3:$V$276,MATCH($B8&amp;$C8&amp;$D8,'Emission factors'!$J$3:$J$276&amp;'Emission factors'!$K$3:$K$276&amp;'Emission factors'!$L$3:$L$276,0),MATCH('School Travel &amp; Staff Commute'!G$7,'Emission factors'!$K$2:$V$2,0)))*E8))</calculatedColumnFormula>
    </tableColumn>
    <tableColumn id="9" xr3:uid="{00000000-0010-0000-0300-000009000000}" name="Standard units">
      <calculatedColumnFormula array="1">IF(OR($B8="",$C8="",$E8=""),"",INDEX('Emission factors'!$K$3:$V$276,MATCH($B8&amp;$C8&amp;$D8,'Emission factors'!$J$3:$J$276&amp;'Emission factors'!$K$3:$K$276&amp;'Emission factors'!$L$3:$L$276,0),MATCH('School Travel &amp; Staff Commute'!H$7,'Emission factors'!$K$2:$V$2,0)))</calculatedColumnFormula>
    </tableColumn>
    <tableColumn id="10" xr3:uid="{00000000-0010-0000-0300-00000A000000}" name="Total EF (kgCO2e/unit)">
      <calculatedColumnFormula array="1">IF(OR(B8="",C8="",D8=""),"",INDEX('Emission factors'!$K$3:$V$276,MATCH($B8&amp;$C8&amp;$D8,'Emission factors'!$J$3:$J$276&amp;'Emission factors'!$K$3:$K$276&amp;'Emission factors'!$L$3:$L$276,0),MATCH('School Travel &amp; Staff Commute'!I$7,'Emission factors'!$K$2:$V$2,0)))</calculatedColumnFormula>
    </tableColumn>
    <tableColumn id="11" xr3:uid="{00000000-0010-0000-0300-00000B000000}" name="Total emissions">
      <calculatedColumnFormula>IF(OR(G8="",I8=""),"",SUM(BusinessTable[[#This Row],[Direct]:[Indirect WTT]]))</calculatedColumnFormula>
    </tableColumn>
    <tableColumn id="12" xr3:uid="{00000000-0010-0000-0300-00000C000000}" name="Notes"/>
    <tableColumn id="14" xr3:uid="{00000000-0010-0000-0300-00000E000000}" name="Direct">
      <calculatedColumnFormula array="1">IF(OR($C8="",$E8=""),"",(INDEX('Emission factors'!$K$3:$V$201,MATCH($B8&amp;$C8&amp;$D8,'Emission factors'!$J$3:$J$201&amp;'Emission factors'!$K$3:$K$201&amp;'Emission factors'!$L$3:$L$201,0),MATCH(L$7,'Emission factors'!$K$2:$V$2,0)))*$G8)</calculatedColumnFormula>
    </tableColumn>
    <tableColumn id="15" xr3:uid="{00000000-0010-0000-0300-00000F000000}" name="Indirect generation">
      <calculatedColumnFormula array="1">IF(OR($C8="",$E8=""),"",(INDEX('Emission factors'!$K$3:$V$201,MATCH($B8&amp;$C8&amp;$D8,'Emission factors'!$J$3:$J$201&amp;'Emission factors'!$K$3:$K$201&amp;'Emission factors'!$L$3:$L$201,0),MATCH(M$7,'Emission factors'!$K$2:$V$2,0)))*$G8)</calculatedColumnFormula>
    </tableColumn>
    <tableColumn id="16" xr3:uid="{00000000-0010-0000-0300-000010000000}" name="Indirect service">
      <calculatedColumnFormula array="1">IF(OR($C8="",$E8=""),"",(INDEX('Emission factors'!$K$3:$V$201,MATCH($B8&amp;$C8&amp;$D8,'Emission factors'!$J$3:$J$201&amp;'Emission factors'!$K$3:$K$201&amp;'Emission factors'!$L$3:$L$201,0),MATCH(N$7,'Emission factors'!$K$2:$V$2,0)))*$G8)</calculatedColumnFormula>
    </tableColumn>
    <tableColumn id="17" xr3:uid="{00000000-0010-0000-0300-000011000000}" name="Indirect T&amp;D">
      <calculatedColumnFormula array="1">IF(OR($C8="",$E8=""),"",(INDEX('Emission factors'!$K$3:$V$201,MATCH($B8&amp;$C8&amp;$D8,'Emission factors'!$J$3:$J$201&amp;'Emission factors'!$K$3:$K$201&amp;'Emission factors'!$L$3:$L$201,0),MATCH(O$7,'Emission factors'!$K$2:$V$2,0)))*$G8)</calculatedColumnFormula>
    </tableColumn>
    <tableColumn id="18" xr3:uid="{00000000-0010-0000-0300-000012000000}" name="Indirect WTT">
      <calculatedColumnFormula array="1">IF(OR($C8="",$E8=""),"",(INDEX('Emission factors'!$K$3:$V$201,MATCH($B8&amp;$C8&amp;$D8,'Emission factors'!$J$3:$J$201&amp;'Emission factors'!$K$3:$K$201&amp;'Emission factors'!$L$3:$L$201,0),MATCH(P$7,'Emission factors'!$K$2:$V$2,0)))*$G8)</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ommutingTable" displayName="CommutingTable" ref="B30:P49" totalsRowShown="0" headerRowDxfId="46" dataDxfId="44" headerRowBorderDxfId="45" tableBorderDxfId="43" totalsRowBorderDxfId="42">
  <autoFilter ref="B30:P49" xr:uid="{00000000-0009-0000-0100-000005000000}"/>
  <tableColumns count="15">
    <tableColumn id="1" xr3:uid="{00000000-0010-0000-0400-000001000000}" name="Emission source"/>
    <tableColumn id="2" xr3:uid="{00000000-0010-0000-0400-000002000000}" name="Category 1"/>
    <tableColumn id="3" xr3:uid="{00000000-0010-0000-0400-000003000000}" name="Category 2"/>
    <tableColumn id="6" xr3:uid="{00000000-0010-0000-0400-000006000000}" name="Data"/>
    <tableColumn id="7" xr3:uid="{00000000-0010-0000-0400-000007000000}" name="Units"/>
    <tableColumn id="8" xr3:uid="{00000000-0010-0000-0400-000008000000}" name="Converted data">
      <calculatedColumnFormula array="1">IF(OR($B31="",$C31="",$D31="",F31=""),"",IF(F31=H31,E31,(INDEX('Emission factors'!$K$3:$V$276,MATCH($B31&amp;$C31&amp;$D31,'Emission factors'!$J$3:$J$276&amp;'Emission factors'!$K$3:$K$276&amp;'Emission factors'!$L$3:$L$276,0),MATCH('School Travel &amp; Staff Commute'!G$7,'Emission factors'!$K$2:$V$2,0)))*E31))</calculatedColumnFormula>
    </tableColumn>
    <tableColumn id="9" xr3:uid="{00000000-0010-0000-0400-000009000000}" name="Standard units">
      <calculatedColumnFormula array="1">IF(OR($B31="",$C31="",$E31=""),"",INDEX('Emission factors'!$K$3:$V$276,MATCH($B31&amp;$C31&amp;$D31,'Emission factors'!$J$3:$J$276&amp;'Emission factors'!$K$3:$K$276&amp;'Emission factors'!$L$3:$L$276,0),MATCH('School Travel &amp; Staff Commute'!H$7,'Emission factors'!$K$2:$V$2,0)))</calculatedColumnFormula>
    </tableColumn>
    <tableColumn id="10" xr3:uid="{00000000-0010-0000-0400-00000A000000}" name="Total EF (kgCO2e/unit)">
      <calculatedColumnFormula array="1">IF(OR(B31="",C31="",D31=""),"",INDEX('Emission factors'!$K$3:$V$276,MATCH($B31&amp;$C31&amp;$D31,'Emission factors'!$J$3:$J$276&amp;'Emission factors'!$K$3:$K$276&amp;'Emission factors'!$L$3:$L$276,0),MATCH('School Travel &amp; Staff Commute'!I$7,'Emission factors'!$K$2:$V$2,0)))</calculatedColumnFormula>
    </tableColumn>
    <tableColumn id="11" xr3:uid="{00000000-0010-0000-0400-00000B000000}" name="Total emissions">
      <calculatedColumnFormula>IF(OR(G31="",I31=""),"",SUM(CommutingTable[[#This Row],[Direct]:[Indirect WTT]]))</calculatedColumnFormula>
    </tableColumn>
    <tableColumn id="12" xr3:uid="{00000000-0010-0000-0400-00000C000000}" name="Notes"/>
    <tableColumn id="14" xr3:uid="{00000000-0010-0000-0400-00000E000000}" name="Direct">
      <calculatedColumnFormula array="1">IF(OR($C31="",$E31="",CommutingTable[[#This Row],[Converted data]]=""),"",(INDEX('Emission factors'!$K$3:$V$201,MATCH($B31&amp;$C31&amp;$D31,'Emission factors'!$J$3:$J$201&amp;'Emission factors'!$K$3:$K$201&amp;'Emission factors'!$L$3:$L$201,0),MATCH(L$30,'Emission factors'!$K$2:$V$2,0)))*$G31)</calculatedColumnFormula>
    </tableColumn>
    <tableColumn id="15" xr3:uid="{00000000-0010-0000-0400-00000F000000}" name="Indirect generation">
      <calculatedColumnFormula array="1">IF(OR($C31="",$E31="",CommutingTable[[#This Row],[Converted data]]=""),"",(INDEX('Emission factors'!$K$3:$V$201,MATCH($B31&amp;$C31&amp;$D31,'Emission factors'!$J$3:$J$201&amp;'Emission factors'!$K$3:$K$201&amp;'Emission factors'!$L$3:$L$201,0),MATCH(M$30,'Emission factors'!$K$2:$V$2,0)))*$G31)</calculatedColumnFormula>
    </tableColumn>
    <tableColumn id="16" xr3:uid="{00000000-0010-0000-0400-000010000000}" name="Indirect service">
      <calculatedColumnFormula array="1">IF(OR($C31="",$E31="",CommutingTable[[#This Row],[Converted data]]=""),"",(INDEX('Emission factors'!$K$3:$V$201,MATCH($B31&amp;$C31&amp;$D31,'Emission factors'!$J$3:$J$201&amp;'Emission factors'!$K$3:$K$201&amp;'Emission factors'!$L$3:$L$201,0),MATCH(N$30,'Emission factors'!$K$2:$V$2,0)))*$G31)</calculatedColumnFormula>
    </tableColumn>
    <tableColumn id="17" xr3:uid="{00000000-0010-0000-0400-000011000000}" name="Indirect T&amp;D">
      <calculatedColumnFormula array="1">IF(OR($C31="",$E31="",CommutingTable[[#This Row],[Converted data]]=""),"",(INDEX('Emission factors'!$K$3:$V$201,MATCH($B31&amp;$C31&amp;$D31,'Emission factors'!$J$3:$J$201&amp;'Emission factors'!$K$3:$K$201&amp;'Emission factors'!$L$3:$L$201,0),MATCH(O$30,'Emission factors'!$K$2:$V$2,0)))*$G31)</calculatedColumnFormula>
    </tableColumn>
    <tableColumn id="18" xr3:uid="{00000000-0010-0000-0400-000012000000}" name="Indirect WTT">
      <calculatedColumnFormula array="1">IF(OR($C31="",$E31="",CommutingTable[[#This Row],[Converted data]]=""),"",(INDEX('Emission factors'!$K$3:$V$201,MATCH($B31&amp;$C31&amp;$D31,'Emission factors'!$J$3:$J$201&amp;'Emission factors'!$K$3:$K$201&amp;'Emission factors'!$L$3:$L$201,0),MATCH(P$30,'Emission factors'!$K$2:$V$2,0)))*$G31)</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OrganisationalWasteTable" displayName="OrganisationalWasteTable" ref="B7:O48" totalsRowShown="0" headerRowDxfId="41" dataDxfId="39" headerRowBorderDxfId="40" tableBorderDxfId="38" totalsRowBorderDxfId="37">
  <autoFilter ref="B7:O48" xr:uid="{00000000-0009-0000-0100-000008000000}"/>
  <tableColumns count="14">
    <tableColumn id="1" xr3:uid="{00000000-0010-0000-0500-000001000000}" name="Waste type"/>
    <tableColumn id="2" xr3:uid="{00000000-0010-0000-0500-000002000000}" name="Disposal"/>
    <tableColumn id="5" xr3:uid="{00000000-0010-0000-0500-000005000000}" name="Data"/>
    <tableColumn id="6" xr3:uid="{00000000-0010-0000-0500-000006000000}" name="Units"/>
    <tableColumn id="7" xr3:uid="{00000000-0010-0000-0500-000007000000}" name="Converted data">
      <calculatedColumnFormula array="1">IF(OR($B8="",$C8="",E8=""),"",IF(E8=G8,D8,(INDEX('Emission factors'!$K$3:$V$379,MATCH($B8&amp;$C8,'Emission factors'!$K$3:$K$379&amp;'Emission factors'!$L$3:$L$379,0),MATCH($F$7,'Emission factors'!$K$2:$V$2,0)))*D8))</calculatedColumnFormula>
    </tableColumn>
    <tableColumn id="8" xr3:uid="{00000000-0010-0000-0500-000008000000}" name="Standard units">
      <calculatedColumnFormula array="1">IF(OR($B8="",$D8="",OrganisationalWasteTable[[#This Row],[Units]]=""),"",INDEX('Emission factors'!$K$3:$V$379,MATCH($B8&amp;$C8,'Emission factors'!$K$3:$K$379&amp;'Emission factors'!$L$3:$L$379,0),MATCH($G$7,'Emission factors'!$K$2:$V$2,0)))</calculatedColumnFormula>
    </tableColumn>
    <tableColumn id="9" xr3:uid="{00000000-0010-0000-0500-000009000000}" name="Total EF (kgCO2e/unit)">
      <calculatedColumnFormula array="1">IF(OR(B8="",C8="",OrganisationalWasteTable[[#This Row],[Data]]=""),"",INDEX('Emission factors'!$K$3:$V$379,MATCH($B8&amp;$C8,'Emission factors'!$K$3:$K$379&amp;'Emission factors'!$L$3:$L$379,0),MATCH($H$7,'Emission factors'!$K$2:$V$2,0)))</calculatedColumnFormula>
    </tableColumn>
    <tableColumn id="10" xr3:uid="{00000000-0010-0000-0500-00000A000000}" name="Total emissions">
      <calculatedColumnFormula>IF(OR(OrganisationalWasteTable[[#This Row],[Waste type]]="",OrganisationalWasteTable[[#This Row],[Converted data]]=""),"",SUM(OrganisationalWasteTable[[#This Row],[Direct]:[Indirect WTT]]))</calculatedColumnFormula>
    </tableColumn>
    <tableColumn id="11" xr3:uid="{00000000-0010-0000-0500-00000B000000}" name="Notes"/>
    <tableColumn id="13" xr3:uid="{00000000-0010-0000-0500-00000D000000}" name="Direct">
      <calculatedColumnFormula array="1">IF(OR($B8="",$D8="",$F8=""),"",(INDEX('Emission factors'!$K$3:$V$379,MATCH($B8&amp;$C8,'Emission factors'!$K$3:$K$379&amp;'Emission factors'!$L$3:$L$379,0),MATCH(K$7,'Emission factors'!$K$2:$V$2,0)))*$F8)</calculatedColumnFormula>
    </tableColumn>
    <tableColumn id="14" xr3:uid="{00000000-0010-0000-0500-00000E000000}" name="Indirect generation">
      <calculatedColumnFormula array="1">IF(OR($B8="",$D8="",$F8=""),"",(INDEX('Emission factors'!$K$3:$V$379,MATCH($B8&amp;$C8,'Emission factors'!$K$3:$K$379&amp;'Emission factors'!$L$3:$L$379,0),MATCH(L$7,'Emission factors'!$K$2:$V$2,0)))*$F8)</calculatedColumnFormula>
    </tableColumn>
    <tableColumn id="15" xr3:uid="{00000000-0010-0000-0500-00000F000000}" name="Indirect service">
      <calculatedColumnFormula array="1">IF(OR($B8="",$D8="",$F8=""),"",(INDEX('Emission factors'!$K$3:$V$379,MATCH($B8&amp;$C8,'Emission factors'!$K$3:$K$379&amp;'Emission factors'!$L$3:$L$379,0),MATCH(M$7,'Emission factors'!$K$2:$V$2,0)))*$F8)</calculatedColumnFormula>
    </tableColumn>
    <tableColumn id="16" xr3:uid="{00000000-0010-0000-0500-000010000000}" name="Indirect T&amp;D">
      <calculatedColumnFormula array="1">IF(OR($B8="",$D8="",$F8=""),"",(INDEX('Emission factors'!$K$3:$V$379,MATCH($B8&amp;$C8,'Emission factors'!$K$3:$K$379&amp;'Emission factors'!$L$3:$L$379,0),MATCH(N$7,'Emission factors'!$K$2:$V$2,0)))*$F8)</calculatedColumnFormula>
    </tableColumn>
    <tableColumn id="17" xr3:uid="{00000000-0010-0000-0500-000011000000}" name="Indirect WTT">
      <calculatedColumnFormula array="1">IF(OR($B8="",$D8="",$F8=""),"",(INDEX('Emission factors'!$K$3:$V$379,MATCH($B8&amp;$C8,'Emission factors'!$K$3:$K$379&amp;'Emission factors'!$L$3:$L$379,0),MATCH(O$7,'Emission factors'!$K$2:$V$2,0)))*$F8)</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SupplychainTier2" displayName="SupplychainTier2" ref="B54:H86" totalsRowShown="0" dataDxfId="36" tableBorderDxfId="35">
  <autoFilter ref="B54:H86" xr:uid="{00000000-0009-0000-0100-00000A000000}"/>
  <tableColumns count="7">
    <tableColumn id="1" xr3:uid="{00000000-0010-0000-0600-000001000000}" name="Supply chain group"/>
    <tableColumn id="2" xr3:uid="{00000000-0010-0000-0600-000002000000}" name="SIC code (SIC 2007)"/>
    <tableColumn id="3" xr3:uid="{00000000-0010-0000-0600-000003000000}" name="Product category"/>
    <tableColumn id="4" xr3:uid="{00000000-0010-0000-0600-000004000000}" name="Spend for which Tier 2 method accounts"/>
    <tableColumn id="5" xr3:uid="{00000000-0010-0000-0600-000005000000}" name="Not used"/>
    <tableColumn id="6" xr3:uid="{00000000-0010-0000-0600-000006000000}" name="Calculated emissions (kgCO2e) for this spend"/>
    <tableColumn id="8" xr3:uid="{00000000-0010-0000-0600-000008000000}" name="Notes on data source and method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SupplyChainTier1" displayName="SupplyChainTier1" ref="B7:I48" totalsRowShown="0" dataDxfId="34" tableBorderDxfId="33">
  <autoFilter ref="B7:I48" xr:uid="{00000000-0009-0000-0100-00000B000000}"/>
  <tableColumns count="8">
    <tableColumn id="1" xr3:uid="{00000000-0010-0000-0700-000001000000}" name="Supply chain group"/>
    <tableColumn id="2" xr3:uid="{00000000-0010-0000-0700-000002000000}" name="SIC code (SIC 2007)"/>
    <tableColumn id="3" xr3:uid="{00000000-0010-0000-0700-000003000000}" name="Product category"/>
    <tableColumn id="4" xr3:uid="{00000000-0010-0000-0700-000004000000}" name="Amount spent by product category (£)"/>
    <tableColumn id="5" xr3:uid="{00000000-0010-0000-0700-000005000000}" name="Emission factor (kgCO2e per £ spent)"/>
    <tableColumn id="6" xr3:uid="{00000000-0010-0000-0700-000006000000}" name="Total kg CO2e">
      <calculatedColumnFormula>IF(ISBLANK(E8),"",E8*F8)</calculatedColumnFormula>
    </tableColumn>
    <tableColumn id="8" xr3:uid="{00000000-0010-0000-0700-000008000000}" name="Notes on data source and exclusions"/>
    <tableColumn id="11" xr3:uid="{00000000-0010-0000-0700-00000B000000}" name="Tier 1 &amp; 2 combined emission">
      <calculatedColumnFormula>(SupplyChainTier1[[#This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OnsiteRenewablesTable" displayName="OnsiteRenewablesTable" ref="B7:G21" totalsRowShown="0" dataDxfId="31" headerRowBorderDxfId="32" tableBorderDxfId="30" totalsRowBorderDxfId="29">
  <autoFilter ref="B7:G21" xr:uid="{00000000-0009-0000-0100-00000C000000}"/>
  <tableColumns count="6">
    <tableColumn id="1" xr3:uid="{00000000-0010-0000-0800-000001000000}" name="Renewable Type"/>
    <tableColumn id="2" xr3:uid="{00000000-0010-0000-0800-000002000000}" name="Technology"/>
    <tableColumn id="5" xr3:uid="{00000000-0010-0000-0800-000005000000}" name="Total kWh generated"/>
    <tableColumn id="6" xr3:uid="{00000000-0010-0000-0800-000006000000}" name="kWh consumed onsite"/>
    <tableColumn id="7" xr3:uid="{00000000-0010-0000-0800-000007000000}" name="kWh exported"/>
    <tableColumn id="8" xr3:uid="{00000000-0010-0000-0800-000008000000}"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vmlDrawing" Target="../drawings/vmlDrawing1.v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3" Type="http://schemas.openxmlformats.org/officeDocument/2006/relationships/hyperlink" Target="http://www.webflyer.com/travel/mileage_calculator/" TargetMode="External"/><Relationship Id="rId2" Type="http://schemas.openxmlformats.org/officeDocument/2006/relationships/hyperlink" Target="https://www.racfoundation.org/assets/rac_foundation/content/downloadables/car-and-the-commute-web-version.pdf" TargetMode="External"/><Relationship Id="rId1" Type="http://schemas.openxmlformats.org/officeDocument/2006/relationships/hyperlink" Target="https://www.cibse.org/Knowledge/Benchmark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249977111117893"/>
  </sheetPr>
  <dimension ref="A1:Q53"/>
  <sheetViews>
    <sheetView workbookViewId="0">
      <selection activeCell="I14" sqref="I14"/>
    </sheetView>
  </sheetViews>
  <sheetFormatPr defaultColWidth="8.5703125" defaultRowHeight="15" x14ac:dyDescent="0.25"/>
  <cols>
    <col min="1" max="1" width="3.85546875" style="1" customWidth="1"/>
    <col min="2" max="2" width="25.42578125" style="1" customWidth="1"/>
    <col min="3" max="3" width="89" style="1" customWidth="1"/>
    <col min="4" max="4" width="47.140625" style="1" customWidth="1"/>
    <col min="5" max="8" width="8.5703125" style="1" customWidth="1"/>
    <col min="9" max="9" width="43.85546875" style="1" customWidth="1"/>
    <col min="10" max="10" width="8.5703125" style="1" customWidth="1"/>
    <col min="11" max="16384" width="8.5703125" style="1"/>
  </cols>
  <sheetData>
    <row r="1" spans="2:14" x14ac:dyDescent="0.25">
      <c r="B1" s="292" t="s">
        <v>1044</v>
      </c>
      <c r="E1" s="291"/>
    </row>
    <row r="2" spans="2:14" ht="18.75" x14ac:dyDescent="0.25">
      <c r="B2" s="307" t="s">
        <v>1023</v>
      </c>
      <c r="C2" s="308"/>
      <c r="D2" s="308"/>
      <c r="E2" s="308"/>
      <c r="F2" s="308"/>
      <c r="G2" s="308"/>
      <c r="H2" s="308"/>
      <c r="I2" s="308"/>
    </row>
    <row r="3" spans="2:14" ht="61.5" customHeight="1" x14ac:dyDescent="0.25">
      <c r="B3" s="305" t="s">
        <v>1063</v>
      </c>
      <c r="C3" s="306"/>
      <c r="D3" s="306"/>
      <c r="E3" s="306"/>
      <c r="F3" s="306"/>
      <c r="G3" s="306"/>
      <c r="H3" s="306"/>
      <c r="I3" s="306"/>
      <c r="J3" s="74"/>
    </row>
    <row r="4" spans="2:14" x14ac:dyDescent="0.25">
      <c r="B4" s="309"/>
      <c r="C4" s="310"/>
      <c r="D4" s="191"/>
      <c r="E4" s="140"/>
      <c r="F4" s="140"/>
      <c r="G4" s="140"/>
      <c r="H4" s="140"/>
      <c r="I4" s="139"/>
      <c r="J4" s="74"/>
    </row>
    <row r="5" spans="2:14" x14ac:dyDescent="0.25">
      <c r="D5" s="13"/>
      <c r="G5" s="7"/>
      <c r="H5" s="7"/>
      <c r="I5" s="7"/>
      <c r="J5" s="74"/>
    </row>
    <row r="6" spans="2:14" ht="19.5" thickBot="1" x14ac:dyDescent="0.3">
      <c r="B6" s="31" t="s">
        <v>1024</v>
      </c>
      <c r="D6" s="9"/>
      <c r="F6" s="26"/>
      <c r="G6" s="63"/>
      <c r="H6" s="63"/>
      <c r="I6" s="63"/>
      <c r="J6" s="74"/>
    </row>
    <row r="7" spans="2:14" ht="15.75" thickBot="1" x14ac:dyDescent="0.3">
      <c r="B7" s="15" t="s">
        <v>1025</v>
      </c>
      <c r="C7" s="4" t="s">
        <v>1033</v>
      </c>
      <c r="D7" s="163"/>
      <c r="E7" s="13"/>
      <c r="F7" s="26"/>
      <c r="G7" s="63"/>
      <c r="H7" s="279"/>
      <c r="I7" s="279"/>
      <c r="J7" s="74"/>
    </row>
    <row r="8" spans="2:14" ht="15.75" thickBot="1" x14ac:dyDescent="0.3">
      <c r="B8" s="15" t="s">
        <v>1025</v>
      </c>
      <c r="C8" s="4" t="s">
        <v>1032</v>
      </c>
      <c r="D8" s="163"/>
      <c r="E8" s="13"/>
      <c r="F8" s="26"/>
      <c r="G8" s="63"/>
      <c r="H8" s="63"/>
      <c r="I8" s="63"/>
      <c r="J8" s="74"/>
    </row>
    <row r="9" spans="2:14" ht="15.75" thickBot="1" x14ac:dyDescent="0.3">
      <c r="B9" s="15" t="s">
        <v>1025</v>
      </c>
      <c r="C9" s="4" t="s">
        <v>4</v>
      </c>
      <c r="D9" s="164"/>
      <c r="E9" s="13"/>
      <c r="F9" s="26"/>
      <c r="G9" s="63"/>
      <c r="H9" s="115"/>
      <c r="I9" s="280"/>
      <c r="J9" s="74"/>
    </row>
    <row r="10" spans="2:14" ht="15.75" thickBot="1" x14ac:dyDescent="0.3">
      <c r="B10" s="15" t="s">
        <v>1025</v>
      </c>
      <c r="C10" s="4" t="s">
        <v>679</v>
      </c>
      <c r="D10" s="164"/>
      <c r="G10" s="27"/>
      <c r="H10" s="276"/>
      <c r="I10" s="278"/>
      <c r="J10" s="74"/>
    </row>
    <row r="11" spans="2:14" ht="15.75" thickBot="1" x14ac:dyDescent="0.3">
      <c r="B11" s="15" t="s">
        <v>1025</v>
      </c>
      <c r="C11" s="4" t="s">
        <v>1049</v>
      </c>
      <c r="D11" s="164"/>
      <c r="H11" s="44"/>
      <c r="I11" s="45"/>
      <c r="J11" s="74"/>
    </row>
    <row r="12" spans="2:14" ht="15.75" thickBot="1" x14ac:dyDescent="0.3">
      <c r="H12" s="277"/>
      <c r="I12" s="45"/>
      <c r="J12" s="74"/>
    </row>
    <row r="13" spans="2:14" ht="19.5" thickBot="1" x14ac:dyDescent="0.3">
      <c r="B13" s="31" t="s">
        <v>9</v>
      </c>
      <c r="E13" s="13"/>
      <c r="H13" s="44"/>
      <c r="I13" s="45"/>
      <c r="J13" s="74"/>
    </row>
    <row r="14" spans="2:14" ht="30.75" thickBot="1" x14ac:dyDescent="0.3">
      <c r="B14" s="76" t="s">
        <v>9</v>
      </c>
      <c r="C14" s="88" t="s">
        <v>1026</v>
      </c>
      <c r="D14" s="239"/>
      <c r="H14" s="174"/>
      <c r="I14" s="45"/>
      <c r="J14" s="74"/>
      <c r="N14" s="13"/>
    </row>
    <row r="15" spans="2:14" ht="15.75" thickBot="1" x14ac:dyDescent="0.3">
      <c r="H15" s="275"/>
      <c r="I15" s="10"/>
      <c r="J15" s="74"/>
      <c r="N15" s="13"/>
    </row>
    <row r="16" spans="2:14" ht="15.75" thickBot="1" x14ac:dyDescent="0.3">
      <c r="E16" s="27"/>
      <c r="H16" s="174"/>
      <c r="I16" s="10"/>
      <c r="J16" s="74"/>
    </row>
    <row r="18" spans="5:17" x14ac:dyDescent="0.25">
      <c r="E18" s="267"/>
      <c r="F18" s="7"/>
      <c r="G18" s="7"/>
      <c r="H18" s="7"/>
      <c r="I18" s="7"/>
      <c r="J18" s="7"/>
      <c r="K18" s="7"/>
      <c r="L18" s="7"/>
      <c r="M18" s="7"/>
      <c r="N18" s="7"/>
      <c r="O18" s="7"/>
      <c r="P18" s="7"/>
    </row>
    <row r="19" spans="5:17" x14ac:dyDescent="0.25">
      <c r="F19" s="74"/>
      <c r="G19" s="74"/>
      <c r="H19" s="74"/>
      <c r="I19" s="74"/>
      <c r="J19" s="74"/>
      <c r="K19" s="74"/>
      <c r="L19" s="74"/>
      <c r="M19" s="74"/>
      <c r="N19" s="74"/>
      <c r="O19" s="74"/>
      <c r="P19" s="74"/>
      <c r="Q19" s="54"/>
    </row>
    <row r="20" spans="5:17" x14ac:dyDescent="0.25">
      <c r="F20" s="74"/>
      <c r="G20" s="74"/>
      <c r="H20" s="74"/>
      <c r="I20" s="74"/>
      <c r="J20" s="74"/>
      <c r="K20" s="74"/>
      <c r="L20" s="74"/>
      <c r="M20" s="74"/>
      <c r="N20" s="74"/>
      <c r="O20" s="74"/>
      <c r="P20" s="74"/>
      <c r="Q20" s="54"/>
    </row>
    <row r="21" spans="5:17" x14ac:dyDescent="0.25">
      <c r="E21" s="268"/>
      <c r="F21" s="74"/>
      <c r="G21" s="74"/>
      <c r="H21" s="74"/>
      <c r="I21" s="74"/>
      <c r="J21" s="74"/>
      <c r="K21" s="74"/>
      <c r="L21" s="74"/>
      <c r="M21" s="74"/>
      <c r="N21" s="74"/>
      <c r="O21" s="74"/>
      <c r="P21" s="74"/>
      <c r="Q21" s="54"/>
    </row>
    <row r="22" spans="5:17" x14ac:dyDescent="0.25">
      <c r="E22" s="268"/>
      <c r="F22" s="75"/>
      <c r="G22" s="74"/>
      <c r="H22" s="74"/>
      <c r="I22" s="74"/>
      <c r="J22" s="74"/>
      <c r="K22" s="74"/>
      <c r="L22" s="74"/>
      <c r="M22" s="74"/>
      <c r="N22" s="74"/>
      <c r="O22" s="74"/>
      <c r="P22" s="74"/>
      <c r="Q22" s="54"/>
    </row>
    <row r="23" spans="5:17" x14ac:dyDescent="0.25">
      <c r="E23" s="268"/>
      <c r="F23" s="75"/>
      <c r="G23" s="74"/>
      <c r="H23" s="74"/>
      <c r="I23" s="74"/>
      <c r="J23" s="74"/>
      <c r="K23" s="74"/>
      <c r="L23" s="74"/>
      <c r="M23" s="74"/>
      <c r="N23" s="74"/>
      <c r="O23" s="74"/>
      <c r="P23" s="74"/>
      <c r="Q23" s="54"/>
    </row>
    <row r="24" spans="5:17" ht="15.75" thickBot="1" x14ac:dyDescent="0.3">
      <c r="E24" s="269"/>
      <c r="F24" s="74"/>
      <c r="G24" s="74"/>
      <c r="H24" s="74"/>
      <c r="I24" s="74"/>
      <c r="J24" s="74"/>
      <c r="K24" s="74"/>
      <c r="L24" s="74"/>
      <c r="M24" s="74"/>
      <c r="N24" s="74"/>
      <c r="O24" s="74"/>
      <c r="P24" s="74"/>
      <c r="Q24" s="54"/>
    </row>
    <row r="25" spans="5:17" x14ac:dyDescent="0.25">
      <c r="F25" s="74"/>
      <c r="G25" s="74"/>
      <c r="H25" s="74"/>
      <c r="I25" s="74"/>
      <c r="J25" s="74"/>
      <c r="K25" s="74"/>
      <c r="L25" s="74"/>
      <c r="M25" s="74"/>
      <c r="N25" s="74"/>
      <c r="O25" s="74"/>
      <c r="P25" s="74"/>
      <c r="Q25" s="54"/>
    </row>
    <row r="26" spans="5:17" x14ac:dyDescent="0.25">
      <c r="F26" s="74"/>
      <c r="G26" s="74"/>
      <c r="H26" s="74"/>
      <c r="I26" s="74"/>
      <c r="J26" s="74"/>
      <c r="K26" s="74"/>
      <c r="L26" s="74"/>
      <c r="M26" s="74"/>
      <c r="N26" s="74"/>
      <c r="O26" s="74"/>
      <c r="P26" s="74"/>
      <c r="Q26" s="54"/>
    </row>
    <row r="27" spans="5:17" x14ac:dyDescent="0.25">
      <c r="F27" s="74"/>
      <c r="G27" s="74"/>
      <c r="H27" s="74"/>
      <c r="I27" s="74"/>
      <c r="J27" s="74"/>
      <c r="K27" s="74"/>
      <c r="L27" s="74"/>
      <c r="M27" s="74"/>
      <c r="N27" s="74"/>
      <c r="O27" s="74"/>
      <c r="P27" s="74"/>
      <c r="Q27" s="54"/>
    </row>
    <row r="28" spans="5:17" x14ac:dyDescent="0.25">
      <c r="F28" s="74"/>
      <c r="G28" s="74"/>
      <c r="H28" s="74"/>
      <c r="I28" s="74"/>
      <c r="J28" s="74"/>
      <c r="K28" s="74"/>
      <c r="L28" s="74"/>
      <c r="M28" s="74"/>
      <c r="N28" s="74"/>
      <c r="O28" s="74"/>
      <c r="P28" s="74"/>
      <c r="Q28" s="54"/>
    </row>
    <row r="29" spans="5:17" x14ac:dyDescent="0.25">
      <c r="F29" s="74"/>
      <c r="G29" s="74"/>
      <c r="H29" s="74"/>
      <c r="I29" s="74"/>
      <c r="J29" s="74"/>
      <c r="K29" s="74"/>
      <c r="L29" s="74"/>
      <c r="M29" s="74"/>
      <c r="N29" s="74"/>
      <c r="O29" s="74"/>
      <c r="P29" s="74"/>
      <c r="Q29" s="54"/>
    </row>
    <row r="30" spans="5:17" x14ac:dyDescent="0.25">
      <c r="F30" s="74"/>
      <c r="G30" s="74"/>
      <c r="H30" s="74"/>
      <c r="I30" s="74"/>
      <c r="J30" s="74"/>
      <c r="K30" s="74"/>
      <c r="L30" s="74"/>
      <c r="M30" s="74"/>
      <c r="N30" s="74"/>
      <c r="O30" s="74"/>
      <c r="P30" s="74"/>
      <c r="Q30" s="54"/>
    </row>
    <row r="31" spans="5:17" x14ac:dyDescent="0.25">
      <c r="F31" s="74"/>
      <c r="G31" s="74"/>
      <c r="H31" s="74"/>
      <c r="I31" s="74"/>
      <c r="J31" s="74"/>
      <c r="K31" s="74"/>
      <c r="L31" s="74"/>
      <c r="M31" s="74"/>
      <c r="N31" s="74"/>
      <c r="O31" s="74"/>
      <c r="P31" s="74"/>
      <c r="Q31" s="54"/>
    </row>
    <row r="32" spans="5:17" x14ac:dyDescent="0.25">
      <c r="F32" s="74"/>
      <c r="G32" s="74"/>
      <c r="H32" s="74"/>
      <c r="I32" s="74"/>
      <c r="J32" s="74"/>
      <c r="K32" s="74"/>
      <c r="L32" s="74"/>
      <c r="M32" s="74"/>
      <c r="N32" s="74"/>
      <c r="O32" s="74"/>
      <c r="P32" s="74"/>
      <c r="Q32" s="54"/>
    </row>
    <row r="33" spans="1:17" x14ac:dyDescent="0.25">
      <c r="F33" s="74"/>
      <c r="G33" s="74"/>
      <c r="H33" s="74"/>
      <c r="I33" s="74"/>
      <c r="J33" s="74"/>
      <c r="K33" s="74"/>
      <c r="L33" s="74"/>
      <c r="M33" s="74"/>
      <c r="N33" s="74"/>
      <c r="O33" s="74"/>
      <c r="P33" s="74"/>
      <c r="Q33" s="54"/>
    </row>
    <row r="34" spans="1:17" x14ac:dyDescent="0.25">
      <c r="F34" s="74"/>
      <c r="G34" s="74"/>
      <c r="H34" s="74"/>
      <c r="I34" s="74"/>
      <c r="J34" s="74"/>
      <c r="K34" s="74"/>
      <c r="L34" s="74"/>
      <c r="M34" s="74"/>
      <c r="N34" s="74"/>
      <c r="O34" s="74"/>
      <c r="P34" s="74"/>
      <c r="Q34" s="54"/>
    </row>
    <row r="35" spans="1:17" x14ac:dyDescent="0.25">
      <c r="F35" s="74"/>
      <c r="G35" s="74"/>
      <c r="H35" s="74"/>
      <c r="I35" s="74"/>
      <c r="J35" s="74"/>
      <c r="K35" s="74"/>
      <c r="L35" s="74"/>
      <c r="M35" s="74"/>
      <c r="N35" s="74"/>
      <c r="O35" s="74"/>
      <c r="P35" s="74"/>
      <c r="Q35" s="54"/>
    </row>
    <row r="36" spans="1:17" x14ac:dyDescent="0.25">
      <c r="F36" s="79"/>
      <c r="G36" s="79"/>
      <c r="H36" s="79"/>
      <c r="I36" s="79"/>
      <c r="J36" s="79"/>
      <c r="K36" s="79"/>
      <c r="L36" s="79"/>
      <c r="M36" s="79"/>
      <c r="N36" s="79"/>
      <c r="O36" s="79"/>
      <c r="P36" s="79"/>
      <c r="Q36" s="54"/>
    </row>
    <row r="37" spans="1:17" x14ac:dyDescent="0.25">
      <c r="F37" s="27"/>
      <c r="G37" s="27"/>
      <c r="H37" s="27"/>
      <c r="I37" s="27"/>
      <c r="J37" s="27"/>
      <c r="K37" s="27"/>
      <c r="L37" s="27"/>
      <c r="M37" s="27"/>
      <c r="N37" s="27"/>
      <c r="O37" s="27"/>
      <c r="P37" s="27"/>
    </row>
    <row r="39" spans="1:17" ht="121.7" customHeight="1" x14ac:dyDescent="0.25">
      <c r="F39" s="267"/>
      <c r="G39" s="270"/>
      <c r="H39" s="271"/>
      <c r="I39" s="271"/>
      <c r="J39" s="271"/>
      <c r="K39" s="267"/>
      <c r="L39" s="14"/>
    </row>
    <row r="40" spans="1:17" ht="29.45" customHeight="1" x14ac:dyDescent="0.25"/>
    <row r="42" spans="1:17" x14ac:dyDescent="0.25">
      <c r="A42"/>
      <c r="F42" s="268"/>
      <c r="G42" s="268"/>
      <c r="H42" s="268"/>
      <c r="I42" s="268"/>
      <c r="J42" s="268"/>
      <c r="K42" s="268"/>
    </row>
    <row r="43" spans="1:17" x14ac:dyDescent="0.25">
      <c r="F43" s="268"/>
      <c r="G43" s="268"/>
      <c r="H43" s="268"/>
      <c r="I43" s="268"/>
      <c r="J43" s="268"/>
      <c r="K43" s="268"/>
    </row>
    <row r="44" spans="1:17" x14ac:dyDescent="0.25">
      <c r="F44" s="268"/>
      <c r="G44" s="268"/>
      <c r="H44" s="268"/>
      <c r="I44" s="268"/>
      <c r="J44" s="268"/>
      <c r="K44" s="268"/>
    </row>
    <row r="45" spans="1:17" ht="62.45" customHeight="1" thickBot="1" x14ac:dyDescent="0.3">
      <c r="F45" s="269"/>
      <c r="G45" s="273"/>
      <c r="H45" s="269"/>
      <c r="I45" s="272"/>
      <c r="J45" s="272"/>
      <c r="K45" s="274"/>
    </row>
    <row r="48" spans="1:17" hidden="1" x14ac:dyDescent="0.25">
      <c r="A48"/>
    </row>
    <row r="49" spans="1:1" hidden="1" x14ac:dyDescent="0.25">
      <c r="A49"/>
    </row>
    <row r="50" spans="1:1" hidden="1" x14ac:dyDescent="0.25">
      <c r="A50"/>
    </row>
    <row r="51" spans="1:1" hidden="1" x14ac:dyDescent="0.25">
      <c r="A51"/>
    </row>
    <row r="52" spans="1:1" hidden="1" x14ac:dyDescent="0.25">
      <c r="A52"/>
    </row>
    <row r="53" spans="1:1" hidden="1" x14ac:dyDescent="0.25">
      <c r="A53"/>
    </row>
  </sheetData>
  <sheetProtection sheet="1" objects="1" scenarios="1"/>
  <mergeCells count="3">
    <mergeCell ref="B3:I3"/>
    <mergeCell ref="B2:I2"/>
    <mergeCell ref="B4:C4"/>
  </mergeCells>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tabColor rgb="FFCBCBCB"/>
  </sheetPr>
  <dimension ref="B2:BC248"/>
  <sheetViews>
    <sheetView topLeftCell="U1" zoomScale="87" workbookViewId="0">
      <selection activeCell="U19" sqref="U19"/>
    </sheetView>
  </sheetViews>
  <sheetFormatPr defaultColWidth="8.85546875" defaultRowHeight="15" x14ac:dyDescent="0.25"/>
  <cols>
    <col min="1" max="1" width="5.5703125" style="1" customWidth="1"/>
    <col min="2" max="3" width="8.85546875" style="1" customWidth="1"/>
    <col min="4" max="4" width="37.140625" style="1" customWidth="1"/>
    <col min="5" max="12" width="8.85546875" style="1" customWidth="1"/>
    <col min="13" max="14" width="18.140625" style="1" customWidth="1"/>
    <col min="15" max="17" width="24.140625" style="1" customWidth="1"/>
    <col min="18" max="19" width="28.85546875" style="1" customWidth="1"/>
    <col min="20" max="20" width="8.85546875" style="1" customWidth="1"/>
    <col min="21" max="21" width="32" style="1" customWidth="1"/>
    <col min="22" max="24" width="28" style="1" customWidth="1"/>
    <col min="25" max="25" width="18.85546875" style="1" customWidth="1"/>
    <col min="26" max="30" width="8.85546875" style="1" customWidth="1"/>
    <col min="31" max="34" width="17.85546875" style="1" customWidth="1"/>
    <col min="35" max="36" width="24.5703125" style="1" customWidth="1"/>
    <col min="37" max="37" width="8.85546875" style="1" customWidth="1"/>
    <col min="38" max="38" width="27.5703125" style="1" customWidth="1"/>
    <col min="39" max="48" width="8.85546875" style="1" customWidth="1"/>
    <col min="49" max="49" width="8.85546875" style="208" customWidth="1"/>
    <col min="50" max="50" width="8.85546875" style="1" customWidth="1"/>
    <col min="51" max="51" width="18.5703125" style="1" customWidth="1"/>
    <col min="52" max="52" width="15" style="1" customWidth="1"/>
    <col min="53" max="53" width="8.85546875" style="1" customWidth="1"/>
    <col min="54" max="16384" width="8.85546875" style="1"/>
  </cols>
  <sheetData>
    <row r="2" spans="2:55" ht="18.75" x14ac:dyDescent="0.3">
      <c r="B2" s="382" t="s">
        <v>492</v>
      </c>
      <c r="C2" s="383"/>
      <c r="D2" s="384"/>
      <c r="E2" s="97"/>
      <c r="F2" s="98"/>
      <c r="G2" s="385" t="s">
        <v>493</v>
      </c>
      <c r="H2" s="386"/>
      <c r="I2" s="386"/>
      <c r="J2" s="387"/>
      <c r="L2" s="95" t="s">
        <v>279</v>
      </c>
      <c r="M2" s="96"/>
      <c r="O2" s="110" t="s">
        <v>11</v>
      </c>
      <c r="P2" s="110"/>
      <c r="Q2" s="110"/>
      <c r="R2" s="111"/>
      <c r="S2" s="111"/>
      <c r="U2" s="89" t="s">
        <v>25</v>
      </c>
      <c r="V2" s="89"/>
      <c r="W2" s="89"/>
      <c r="X2" s="89"/>
      <c r="AE2" s="77" t="s">
        <v>494</v>
      </c>
      <c r="AF2" s="78"/>
      <c r="AG2" s="78"/>
      <c r="AH2" s="78"/>
      <c r="AI2" s="78"/>
      <c r="AJ2" s="78"/>
      <c r="AL2" s="36" t="s">
        <v>29</v>
      </c>
      <c r="AP2" s="77" t="s">
        <v>495</v>
      </c>
      <c r="AQ2" s="78"/>
      <c r="AU2" s="73" t="s">
        <v>496</v>
      </c>
      <c r="AV2" s="72"/>
      <c r="AZ2" s="77" t="s">
        <v>497</v>
      </c>
      <c r="BA2" s="77"/>
    </row>
    <row r="3" spans="2:55" ht="15.75" thickBot="1" x14ac:dyDescent="0.3">
      <c r="B3" s="10" t="s">
        <v>65</v>
      </c>
      <c r="C3" s="10" t="s">
        <v>66</v>
      </c>
      <c r="D3" s="10" t="s">
        <v>498</v>
      </c>
      <c r="E3" s="10" t="s">
        <v>499</v>
      </c>
      <c r="F3" s="10"/>
      <c r="G3" s="10" t="s">
        <v>96</v>
      </c>
      <c r="H3" s="10"/>
      <c r="I3" s="10" t="s">
        <v>500</v>
      </c>
      <c r="J3" s="10"/>
      <c r="K3" s="10"/>
      <c r="L3" s="10" t="s">
        <v>501</v>
      </c>
      <c r="M3" s="10" t="s">
        <v>116</v>
      </c>
      <c r="N3" s="10"/>
      <c r="O3" s="10" t="s">
        <v>502</v>
      </c>
      <c r="P3" s="10" t="s">
        <v>93</v>
      </c>
      <c r="Q3" s="10" t="s">
        <v>95</v>
      </c>
      <c r="R3" s="10" t="s">
        <v>99</v>
      </c>
      <c r="S3" s="10" t="s">
        <v>101</v>
      </c>
      <c r="U3" s="10" t="s">
        <v>503</v>
      </c>
      <c r="V3" s="10" t="s">
        <v>504</v>
      </c>
      <c r="W3" s="10" t="s">
        <v>505</v>
      </c>
      <c r="X3" s="10" t="s">
        <v>506</v>
      </c>
      <c r="Y3" s="10"/>
      <c r="AA3" s="10"/>
      <c r="AB3" s="10"/>
      <c r="AC3" s="10"/>
      <c r="AD3" s="10"/>
      <c r="AE3" s="10" t="s">
        <v>507</v>
      </c>
      <c r="AF3" s="10" t="s">
        <v>23</v>
      </c>
      <c r="AG3" s="10" t="s">
        <v>24</v>
      </c>
      <c r="AH3" s="10"/>
      <c r="AL3" s="10" t="s">
        <v>260</v>
      </c>
      <c r="AM3" s="10" t="s">
        <v>271</v>
      </c>
      <c r="AP3" s="10" t="s">
        <v>119</v>
      </c>
      <c r="AU3" s="1" t="s">
        <v>987</v>
      </c>
      <c r="AV3" s="1" t="s">
        <v>124</v>
      </c>
      <c r="AW3" s="208" t="s">
        <v>125</v>
      </c>
      <c r="BA3" s="10" t="s">
        <v>80</v>
      </c>
      <c r="BB3" s="10" t="s">
        <v>108</v>
      </c>
      <c r="BC3" s="10" t="s">
        <v>83</v>
      </c>
    </row>
    <row r="4" spans="2:55" ht="15.75" thickBot="1" x14ac:dyDescent="0.3">
      <c r="B4" s="1" t="s">
        <v>80</v>
      </c>
      <c r="C4" s="22" t="s">
        <v>776</v>
      </c>
      <c r="D4" s="1" t="s">
        <v>94</v>
      </c>
      <c r="E4" s="1" t="s">
        <v>305</v>
      </c>
      <c r="G4" s="1" t="s">
        <v>0</v>
      </c>
      <c r="I4" s="1" t="s">
        <v>800</v>
      </c>
      <c r="L4" s="1" t="s">
        <v>427</v>
      </c>
      <c r="M4" s="1" t="s">
        <v>433</v>
      </c>
      <c r="O4" s="1" t="s">
        <v>77</v>
      </c>
      <c r="P4" s="1" t="s">
        <v>508</v>
      </c>
      <c r="Q4" s="1" t="s">
        <v>359</v>
      </c>
      <c r="R4" s="1" t="s">
        <v>359</v>
      </c>
      <c r="S4" s="1" t="s">
        <v>340</v>
      </c>
      <c r="U4" s="1" t="s">
        <v>408</v>
      </c>
      <c r="V4" s="1" t="s">
        <v>111</v>
      </c>
      <c r="W4" s="1" t="s">
        <v>391</v>
      </c>
      <c r="X4" s="1" t="s">
        <v>113</v>
      </c>
      <c r="AE4" s="1" t="s">
        <v>363</v>
      </c>
      <c r="AF4" s="1" t="s">
        <v>363</v>
      </c>
      <c r="AG4" s="1" t="s">
        <v>24</v>
      </c>
      <c r="AL4" s="1" t="s">
        <v>266</v>
      </c>
      <c r="AM4" s="1" t="s">
        <v>274</v>
      </c>
      <c r="AP4" s="37" t="s">
        <v>38</v>
      </c>
      <c r="AU4" s="1" t="s">
        <v>988</v>
      </c>
      <c r="AV4" s="1" t="s">
        <v>124</v>
      </c>
      <c r="AW4" s="208" t="s">
        <v>127</v>
      </c>
      <c r="AY4" s="1" t="s">
        <v>509</v>
      </c>
      <c r="AZ4" s="1" t="s">
        <v>78</v>
      </c>
      <c r="BA4" s="100">
        <v>2.5000000000000001E-2</v>
      </c>
      <c r="BB4" s="100">
        <v>0.05</v>
      </c>
      <c r="BC4" s="100">
        <v>0.1</v>
      </c>
    </row>
    <row r="5" spans="2:55" ht="15.75" thickBot="1" x14ac:dyDescent="0.3">
      <c r="B5" s="1" t="s">
        <v>108</v>
      </c>
      <c r="C5" s="22" t="s">
        <v>777</v>
      </c>
      <c r="D5" s="1" t="s">
        <v>82</v>
      </c>
      <c r="E5" s="1" t="s">
        <v>306</v>
      </c>
      <c r="G5" s="1" t="s">
        <v>510</v>
      </c>
      <c r="I5" s="1" t="s">
        <v>801</v>
      </c>
      <c r="L5" s="1" t="s">
        <v>428</v>
      </c>
      <c r="M5" s="1" t="s">
        <v>434</v>
      </c>
      <c r="P5" s="1" t="s">
        <v>511</v>
      </c>
      <c r="Q5" s="1" t="s">
        <v>348</v>
      </c>
      <c r="R5" s="1" t="s">
        <v>348</v>
      </c>
      <c r="S5" s="1" t="s">
        <v>335</v>
      </c>
      <c r="U5" s="1" t="s">
        <v>418</v>
      </c>
      <c r="V5" s="1" t="s">
        <v>408</v>
      </c>
      <c r="W5" s="1" t="s">
        <v>393</v>
      </c>
      <c r="X5" s="1" t="s">
        <v>392</v>
      </c>
      <c r="AE5" s="1" t="s">
        <v>367</v>
      </c>
      <c r="AF5" s="1" t="s">
        <v>105</v>
      </c>
      <c r="AL5" s="1" t="s">
        <v>268</v>
      </c>
      <c r="AM5" s="1" t="s">
        <v>276</v>
      </c>
      <c r="AP5" s="38" t="s">
        <v>40</v>
      </c>
      <c r="AU5" s="1" t="s">
        <v>989</v>
      </c>
      <c r="AV5" s="1" t="s">
        <v>124</v>
      </c>
      <c r="AW5" s="208" t="s">
        <v>129</v>
      </c>
      <c r="AY5" s="1" t="s">
        <v>509</v>
      </c>
      <c r="AZ5" s="1" t="s">
        <v>90</v>
      </c>
      <c r="BA5" s="100">
        <v>0.05</v>
      </c>
      <c r="BB5" s="101">
        <v>7.4999999999999997E-2</v>
      </c>
      <c r="BC5" s="100">
        <v>0.125</v>
      </c>
    </row>
    <row r="6" spans="2:55" ht="15.75" thickBot="1" x14ac:dyDescent="0.3">
      <c r="B6" s="1" t="s">
        <v>83</v>
      </c>
      <c r="C6" s="22" t="s">
        <v>778</v>
      </c>
      <c r="D6" s="1" t="s">
        <v>512</v>
      </c>
      <c r="G6" s="1" t="s">
        <v>513</v>
      </c>
      <c r="L6" s="1" t="s">
        <v>429</v>
      </c>
      <c r="P6" s="1" t="s">
        <v>514</v>
      </c>
      <c r="Q6" s="1" t="s">
        <v>354</v>
      </c>
      <c r="R6" s="1" t="s">
        <v>354</v>
      </c>
      <c r="U6" s="1" t="s">
        <v>416</v>
      </c>
      <c r="V6" s="1" t="s">
        <v>418</v>
      </c>
      <c r="W6" s="1" t="s">
        <v>394</v>
      </c>
      <c r="AE6" s="1" t="s">
        <v>105</v>
      </c>
      <c r="AF6" s="1" t="s">
        <v>515</v>
      </c>
      <c r="AL6" s="1" t="s">
        <v>269</v>
      </c>
      <c r="AP6" s="38" t="s">
        <v>41</v>
      </c>
      <c r="AU6" s="1" t="s">
        <v>990</v>
      </c>
      <c r="AV6" s="1" t="s">
        <v>131</v>
      </c>
      <c r="AW6" s="208" t="s">
        <v>132</v>
      </c>
      <c r="AY6" s="1" t="s">
        <v>509</v>
      </c>
      <c r="AZ6" s="1" t="s">
        <v>84</v>
      </c>
      <c r="BA6" s="100">
        <v>0.05</v>
      </c>
      <c r="BB6" s="101">
        <v>7.4999999999999997E-2</v>
      </c>
      <c r="BC6" s="100">
        <v>0.125</v>
      </c>
    </row>
    <row r="7" spans="2:55" ht="16.5" thickBot="1" x14ac:dyDescent="0.3">
      <c r="C7" s="22" t="s">
        <v>779</v>
      </c>
      <c r="D7" s="1" t="s">
        <v>516</v>
      </c>
      <c r="G7" s="44" t="s">
        <v>517</v>
      </c>
      <c r="L7" s="1" t="s">
        <v>430</v>
      </c>
      <c r="O7" s="44"/>
      <c r="P7" s="94"/>
      <c r="Q7" s="1" t="s">
        <v>518</v>
      </c>
      <c r="U7" s="1" t="s">
        <v>417</v>
      </c>
      <c r="V7" s="1" t="s">
        <v>416</v>
      </c>
      <c r="W7" s="1" t="s">
        <v>395</v>
      </c>
      <c r="AE7" s="1" t="s">
        <v>515</v>
      </c>
      <c r="AL7" s="1" t="s">
        <v>519</v>
      </c>
      <c r="AP7" s="38" t="s">
        <v>42</v>
      </c>
      <c r="AU7" s="1" t="s">
        <v>991</v>
      </c>
      <c r="AV7" s="1" t="s">
        <v>131</v>
      </c>
      <c r="AW7" s="208" t="s">
        <v>1010</v>
      </c>
      <c r="AY7" s="1" t="s">
        <v>509</v>
      </c>
      <c r="AZ7" s="1" t="s">
        <v>86</v>
      </c>
      <c r="BA7" s="100">
        <v>0.05</v>
      </c>
      <c r="BB7" s="101">
        <v>7.4999999999999997E-2</v>
      </c>
      <c r="BC7" s="100">
        <v>0.125</v>
      </c>
    </row>
    <row r="8" spans="2:55" ht="16.5" thickBot="1" x14ac:dyDescent="0.3">
      <c r="B8" s="1" t="s">
        <v>520</v>
      </c>
      <c r="C8" s="22" t="s">
        <v>780</v>
      </c>
      <c r="D8" s="1" t="s">
        <v>521</v>
      </c>
      <c r="G8" s="1" t="s">
        <v>688</v>
      </c>
      <c r="L8" s="1" t="s">
        <v>431</v>
      </c>
      <c r="O8" s="44"/>
      <c r="P8" s="94"/>
      <c r="Q8" s="1" t="s">
        <v>98</v>
      </c>
      <c r="U8" s="1" t="s">
        <v>114</v>
      </c>
      <c r="V8" s="1" t="s">
        <v>417</v>
      </c>
      <c r="W8" s="1" t="s">
        <v>396</v>
      </c>
      <c r="AE8" s="1" t="s">
        <v>385</v>
      </c>
      <c r="AL8" s="10" t="s">
        <v>522</v>
      </c>
      <c r="AM8" s="10" t="s">
        <v>523</v>
      </c>
      <c r="AP8" s="38" t="s">
        <v>43</v>
      </c>
      <c r="AU8" s="1" t="s">
        <v>134</v>
      </c>
      <c r="AV8" s="1" t="s">
        <v>131</v>
      </c>
      <c r="AW8" s="208" t="s">
        <v>133</v>
      </c>
      <c r="AY8" s="1" t="s">
        <v>509</v>
      </c>
      <c r="AZ8" s="1" t="s">
        <v>326</v>
      </c>
      <c r="BA8" s="100">
        <v>0.05</v>
      </c>
      <c r="BB8" s="101">
        <v>7.4999999999999997E-2</v>
      </c>
      <c r="BC8" s="101">
        <v>0.125</v>
      </c>
    </row>
    <row r="9" spans="2:55" ht="16.5" thickBot="1" x14ac:dyDescent="0.3">
      <c r="B9" s="1" t="s">
        <v>83</v>
      </c>
      <c r="C9" s="22" t="s">
        <v>781</v>
      </c>
      <c r="D9" s="1" t="s">
        <v>524</v>
      </c>
      <c r="G9" s="1" t="s">
        <v>464</v>
      </c>
      <c r="L9" s="1" t="s">
        <v>432</v>
      </c>
      <c r="O9" s="44"/>
      <c r="P9" s="94"/>
      <c r="Q9" s="1" t="s">
        <v>525</v>
      </c>
      <c r="U9" s="1" t="s">
        <v>409</v>
      </c>
      <c r="V9" s="1" t="s">
        <v>114</v>
      </c>
      <c r="W9" s="1" t="s">
        <v>397</v>
      </c>
      <c r="AE9" s="1" t="s">
        <v>348</v>
      </c>
      <c r="AL9" s="1" t="s">
        <v>526</v>
      </c>
      <c r="AM9" s="1" t="s">
        <v>275</v>
      </c>
      <c r="AP9" s="38" t="s">
        <v>44</v>
      </c>
      <c r="AU9" s="1" t="s">
        <v>136</v>
      </c>
      <c r="AV9" s="1" t="s">
        <v>131</v>
      </c>
      <c r="AW9" s="208" t="s">
        <v>135</v>
      </c>
      <c r="AY9" s="1" t="s">
        <v>509</v>
      </c>
      <c r="AZ9" s="1" t="s">
        <v>107</v>
      </c>
      <c r="BA9" s="100">
        <v>0.05</v>
      </c>
      <c r="BB9" s="101">
        <v>7.4999999999999997E-2</v>
      </c>
      <c r="BC9" s="101">
        <v>0.125</v>
      </c>
    </row>
    <row r="10" spans="2:55" ht="16.5" thickBot="1" x14ac:dyDescent="0.3">
      <c r="C10" s="22" t="s">
        <v>782</v>
      </c>
      <c r="D10" s="1" t="s">
        <v>527</v>
      </c>
      <c r="G10" s="64" t="s">
        <v>528</v>
      </c>
      <c r="O10" s="94"/>
      <c r="P10" s="94"/>
      <c r="U10" s="1" t="s">
        <v>410</v>
      </c>
      <c r="V10" s="1" t="s">
        <v>409</v>
      </c>
      <c r="W10" s="1" t="s">
        <v>398</v>
      </c>
      <c r="AL10" s="1" t="s">
        <v>267</v>
      </c>
      <c r="AM10" s="1" t="s">
        <v>529</v>
      </c>
      <c r="AP10" s="38" t="s">
        <v>45</v>
      </c>
      <c r="AU10" s="1" t="s">
        <v>139</v>
      </c>
      <c r="AV10" s="1" t="s">
        <v>137</v>
      </c>
      <c r="AW10" s="208" t="s">
        <v>138</v>
      </c>
      <c r="AY10" s="1" t="s">
        <v>509</v>
      </c>
      <c r="AZ10" s="1" t="s">
        <v>282</v>
      </c>
      <c r="BA10" s="100">
        <v>0.05</v>
      </c>
      <c r="BB10" s="100">
        <v>7.4999999999999997E-2</v>
      </c>
      <c r="BC10" s="101">
        <v>0.125</v>
      </c>
    </row>
    <row r="11" spans="2:55" ht="16.5" thickBot="1" x14ac:dyDescent="0.3">
      <c r="B11" s="1" t="s">
        <v>530</v>
      </c>
      <c r="C11" s="22" t="s">
        <v>783</v>
      </c>
      <c r="O11" s="94"/>
      <c r="P11" s="94"/>
      <c r="U11" s="1" t="s">
        <v>412</v>
      </c>
      <c r="V11" s="1" t="s">
        <v>410</v>
      </c>
      <c r="W11" s="1" t="s">
        <v>399</v>
      </c>
      <c r="AL11" s="1" t="s">
        <v>531</v>
      </c>
      <c r="AM11" s="1" t="s">
        <v>532</v>
      </c>
      <c r="AP11" s="38" t="s">
        <v>46</v>
      </c>
      <c r="AU11" s="1" t="s">
        <v>140</v>
      </c>
      <c r="AV11" s="1" t="s">
        <v>137</v>
      </c>
      <c r="AW11" s="208" t="s">
        <v>1011</v>
      </c>
      <c r="AY11" s="1" t="s">
        <v>509</v>
      </c>
      <c r="AZ11" s="1" t="s">
        <v>284</v>
      </c>
      <c r="BA11" s="100">
        <v>0.05</v>
      </c>
      <c r="BB11" s="100">
        <v>0.1</v>
      </c>
      <c r="BC11" s="101">
        <v>0.15</v>
      </c>
    </row>
    <row r="12" spans="2:55" ht="16.5" thickBot="1" x14ac:dyDescent="0.3">
      <c r="B12" s="1" t="s">
        <v>83</v>
      </c>
      <c r="C12" s="22" t="s">
        <v>784</v>
      </c>
      <c r="G12" s="45" t="s">
        <v>533</v>
      </c>
      <c r="O12" s="94"/>
      <c r="P12" s="94"/>
      <c r="U12" s="1" t="s">
        <v>411</v>
      </c>
      <c r="V12" s="1" t="s">
        <v>412</v>
      </c>
      <c r="W12" s="1" t="s">
        <v>400</v>
      </c>
      <c r="AE12" s="10" t="s">
        <v>534</v>
      </c>
      <c r="AF12" s="10" t="s">
        <v>535</v>
      </c>
      <c r="AG12" s="10" t="s">
        <v>536</v>
      </c>
      <c r="AI12" s="10" t="s">
        <v>1014</v>
      </c>
      <c r="AJ12" s="10" t="s">
        <v>1015</v>
      </c>
      <c r="AL12" s="1" t="s">
        <v>537</v>
      </c>
      <c r="AP12" s="38" t="s">
        <v>47</v>
      </c>
      <c r="AU12" s="1" t="s">
        <v>142</v>
      </c>
      <c r="AV12" s="1" t="s">
        <v>137</v>
      </c>
      <c r="AW12" s="208" t="s">
        <v>141</v>
      </c>
      <c r="AY12" s="1" t="s">
        <v>509</v>
      </c>
      <c r="AZ12" s="1" t="s">
        <v>435</v>
      </c>
      <c r="BA12" s="100">
        <v>0.05</v>
      </c>
      <c r="BB12" s="100">
        <v>0.1</v>
      </c>
      <c r="BC12" s="101">
        <v>0.15</v>
      </c>
    </row>
    <row r="13" spans="2:55" ht="16.5" thickBot="1" x14ac:dyDescent="0.3">
      <c r="B13" s="1" t="s">
        <v>108</v>
      </c>
      <c r="C13" s="22" t="s">
        <v>785</v>
      </c>
      <c r="G13" s="1" t="s">
        <v>7</v>
      </c>
      <c r="O13" s="94"/>
      <c r="P13" s="94"/>
      <c r="Q13" s="23"/>
      <c r="S13" s="10" t="s">
        <v>538</v>
      </c>
      <c r="U13" s="1" t="s">
        <v>413</v>
      </c>
      <c r="V13" s="1" t="s">
        <v>411</v>
      </c>
      <c r="W13" s="1" t="s">
        <v>401</v>
      </c>
      <c r="AE13" s="1" t="s">
        <v>350</v>
      </c>
      <c r="AF13" s="1" t="s">
        <v>364</v>
      </c>
      <c r="AG13" s="1" t="s">
        <v>326</v>
      </c>
      <c r="AI13" s="1" t="s">
        <v>106</v>
      </c>
      <c r="AJ13" s="1" t="s">
        <v>326</v>
      </c>
      <c r="AL13" s="1" t="s">
        <v>539</v>
      </c>
      <c r="AP13" s="38" t="s">
        <v>48</v>
      </c>
      <c r="AU13" s="1" t="s">
        <v>144</v>
      </c>
      <c r="AV13" s="1" t="s">
        <v>137</v>
      </c>
      <c r="AW13" s="208" t="s">
        <v>143</v>
      </c>
      <c r="AY13" s="1" t="s">
        <v>509</v>
      </c>
      <c r="AZ13" s="1" t="s">
        <v>319</v>
      </c>
      <c r="BA13" s="100">
        <v>0.05</v>
      </c>
      <c r="BB13" s="100">
        <v>7.4999999999999997E-2</v>
      </c>
      <c r="BC13" s="101">
        <v>0.125</v>
      </c>
    </row>
    <row r="14" spans="2:55" ht="15.75" thickBot="1" x14ac:dyDescent="0.3">
      <c r="C14" s="22" t="s">
        <v>784</v>
      </c>
      <c r="G14" s="1" t="s">
        <v>540</v>
      </c>
      <c r="O14" s="10" t="s">
        <v>60</v>
      </c>
      <c r="P14" s="45" t="s">
        <v>92</v>
      </c>
      <c r="Q14" s="10" t="s">
        <v>541</v>
      </c>
      <c r="R14" s="10" t="s">
        <v>542</v>
      </c>
      <c r="S14" s="1" t="s">
        <v>342</v>
      </c>
      <c r="U14" s="1" t="s">
        <v>414</v>
      </c>
      <c r="V14" s="1" t="s">
        <v>413</v>
      </c>
      <c r="W14" s="1" t="s">
        <v>403</v>
      </c>
      <c r="AE14" s="1" t="s">
        <v>351</v>
      </c>
      <c r="AF14" s="1" t="s">
        <v>365</v>
      </c>
      <c r="AG14" s="1" t="s">
        <v>107</v>
      </c>
      <c r="AJ14" s="1" t="s">
        <v>107</v>
      </c>
      <c r="AL14" s="1" t="s">
        <v>543</v>
      </c>
      <c r="AP14" s="38" t="s">
        <v>49</v>
      </c>
      <c r="AU14" s="1" t="s">
        <v>146</v>
      </c>
      <c r="AV14" s="1" t="s">
        <v>137</v>
      </c>
      <c r="AW14" s="208" t="s">
        <v>145</v>
      </c>
      <c r="AY14" s="1" t="s">
        <v>509</v>
      </c>
      <c r="AZ14" s="1" t="s">
        <v>330</v>
      </c>
      <c r="BA14" s="100">
        <v>0.05</v>
      </c>
      <c r="BB14" s="101">
        <v>7.4999999999999997E-2</v>
      </c>
      <c r="BC14" s="100">
        <v>0.125</v>
      </c>
    </row>
    <row r="15" spans="2:55" ht="15.75" thickBot="1" x14ac:dyDescent="0.3">
      <c r="B15" s="1" t="s">
        <v>544</v>
      </c>
      <c r="C15" s="22" t="s">
        <v>786</v>
      </c>
      <c r="G15" s="1" t="s">
        <v>545</v>
      </c>
      <c r="O15" s="1" t="s">
        <v>78</v>
      </c>
      <c r="P15" s="1" t="s">
        <v>88</v>
      </c>
      <c r="Q15" s="1" t="s">
        <v>326</v>
      </c>
      <c r="R15" s="1" t="s">
        <v>106</v>
      </c>
      <c r="S15" s="10" t="s">
        <v>546</v>
      </c>
      <c r="U15" s="1" t="s">
        <v>415</v>
      </c>
      <c r="V15" s="1" t="s">
        <v>414</v>
      </c>
      <c r="W15" s="1" t="s">
        <v>404</v>
      </c>
      <c r="AF15" s="1" t="s">
        <v>366</v>
      </c>
      <c r="AG15" s="1" t="s">
        <v>360</v>
      </c>
      <c r="AJ15" s="1" t="s">
        <v>84</v>
      </c>
      <c r="AP15" s="38" t="s">
        <v>50</v>
      </c>
      <c r="AU15" s="1" t="s">
        <v>148</v>
      </c>
      <c r="AV15" s="1" t="s">
        <v>137</v>
      </c>
      <c r="AW15" s="208" t="s">
        <v>147</v>
      </c>
      <c r="AY15" s="1" t="s">
        <v>509</v>
      </c>
      <c r="AZ15" s="1" t="s">
        <v>333</v>
      </c>
      <c r="BA15" s="100">
        <v>0.05</v>
      </c>
      <c r="BB15" s="101">
        <v>7.4999999999999997E-2</v>
      </c>
      <c r="BC15" s="100">
        <v>0.125</v>
      </c>
    </row>
    <row r="16" spans="2:55" ht="15.75" thickBot="1" x14ac:dyDescent="0.3">
      <c r="B16" s="1" t="s">
        <v>108</v>
      </c>
      <c r="G16" s="1" t="s">
        <v>547</v>
      </c>
      <c r="O16" s="1" t="s">
        <v>88</v>
      </c>
      <c r="Q16" s="1" t="s">
        <v>107</v>
      </c>
      <c r="S16" s="1" t="s">
        <v>337</v>
      </c>
      <c r="U16" s="1" t="s">
        <v>393</v>
      </c>
      <c r="V16" s="1" t="s">
        <v>415</v>
      </c>
      <c r="W16" s="1" t="s">
        <v>405</v>
      </c>
      <c r="AF16" s="1" t="s">
        <v>106</v>
      </c>
      <c r="AG16" s="1" t="s">
        <v>361</v>
      </c>
      <c r="AJ16" s="1" t="s">
        <v>352</v>
      </c>
      <c r="AL16" s="10" t="s">
        <v>548</v>
      </c>
      <c r="AM16" s="10" t="s">
        <v>549</v>
      </c>
      <c r="AP16" s="38" t="s">
        <v>51</v>
      </c>
      <c r="AU16" s="1" t="s">
        <v>150</v>
      </c>
      <c r="AV16" s="1" t="s">
        <v>137</v>
      </c>
      <c r="AW16" s="208" t="s">
        <v>149</v>
      </c>
      <c r="AY16" s="1" t="s">
        <v>509</v>
      </c>
      <c r="AZ16" s="1" t="s">
        <v>359</v>
      </c>
      <c r="BA16" s="100">
        <v>0.05</v>
      </c>
      <c r="BB16" s="101">
        <v>7.4999999999999997E-2</v>
      </c>
      <c r="BC16" s="100">
        <v>0.125</v>
      </c>
    </row>
    <row r="17" spans="2:55" ht="15.75" thickBot="1" x14ac:dyDescent="0.3">
      <c r="G17" s="1" t="s">
        <v>550</v>
      </c>
      <c r="O17" s="1" t="s">
        <v>84</v>
      </c>
      <c r="Q17" s="1" t="s">
        <v>330</v>
      </c>
      <c r="S17" s="1" t="s">
        <v>338</v>
      </c>
      <c r="V17" s="1" t="s">
        <v>419</v>
      </c>
      <c r="W17" s="1" t="s">
        <v>408</v>
      </c>
      <c r="AG17" s="1" t="s">
        <v>352</v>
      </c>
      <c r="AJ17" s="1" t="s">
        <v>353</v>
      </c>
      <c r="AL17" s="1" t="s">
        <v>551</v>
      </c>
      <c r="AM17" s="1" t="s">
        <v>552</v>
      </c>
      <c r="AP17" s="38" t="s">
        <v>52</v>
      </c>
      <c r="AU17" s="1" t="s">
        <v>151</v>
      </c>
      <c r="AV17" s="1" t="s">
        <v>137</v>
      </c>
      <c r="AW17" s="208">
        <v>10.9</v>
      </c>
      <c r="AY17" s="1" t="s">
        <v>509</v>
      </c>
      <c r="AZ17" s="1" t="s">
        <v>348</v>
      </c>
      <c r="BA17" s="100">
        <v>0.05</v>
      </c>
      <c r="BB17" s="101">
        <v>7.4999999999999997E-2</v>
      </c>
      <c r="BC17" s="100">
        <v>0.125</v>
      </c>
    </row>
    <row r="18" spans="2:55" ht="15.75" thickBot="1" x14ac:dyDescent="0.3">
      <c r="B18" s="1" t="s">
        <v>553</v>
      </c>
      <c r="H18" s="13"/>
      <c r="O18" s="1" t="s">
        <v>90</v>
      </c>
      <c r="Q18" s="1" t="s">
        <v>333</v>
      </c>
      <c r="AG18" s="1" t="s">
        <v>362</v>
      </c>
      <c r="AL18" s="1" t="s">
        <v>554</v>
      </c>
      <c r="AM18" s="1" t="s">
        <v>555</v>
      </c>
      <c r="AP18" s="38" t="s">
        <v>53</v>
      </c>
      <c r="AU18" s="1" t="s">
        <v>153</v>
      </c>
      <c r="AV18" s="1" t="s">
        <v>137</v>
      </c>
      <c r="AW18" s="208" t="s">
        <v>152</v>
      </c>
      <c r="AY18" s="1" t="s">
        <v>509</v>
      </c>
      <c r="AZ18" s="1" t="s">
        <v>354</v>
      </c>
      <c r="BA18" s="100">
        <v>0.05</v>
      </c>
      <c r="BB18" s="101">
        <v>7.4999999999999997E-2</v>
      </c>
      <c r="BC18" s="100">
        <v>0.125</v>
      </c>
    </row>
    <row r="19" spans="2:55" ht="15.75" thickBot="1" x14ac:dyDescent="0.3">
      <c r="B19" s="1" t="s">
        <v>108</v>
      </c>
      <c r="G19" s="10" t="s">
        <v>0</v>
      </c>
      <c r="O19" s="1" t="s">
        <v>86</v>
      </c>
      <c r="P19" s="10"/>
      <c r="Q19" s="1" t="s">
        <v>86</v>
      </c>
      <c r="S19" s="10" t="s">
        <v>340</v>
      </c>
      <c r="W19" s="10"/>
      <c r="X19" s="10"/>
      <c r="AL19" s="1" t="s">
        <v>556</v>
      </c>
      <c r="AM19" s="1" t="s">
        <v>557</v>
      </c>
      <c r="AP19" s="38" t="s">
        <v>54</v>
      </c>
      <c r="AU19" s="1" t="s">
        <v>154</v>
      </c>
      <c r="AV19" s="1" t="s">
        <v>137</v>
      </c>
      <c r="AW19" s="208">
        <v>11.07</v>
      </c>
      <c r="AY19" s="1" t="s">
        <v>509</v>
      </c>
      <c r="AZ19" s="1" t="s">
        <v>88</v>
      </c>
      <c r="BA19" s="100">
        <v>2.5000000000000001E-2</v>
      </c>
      <c r="BB19" s="101">
        <v>0.05</v>
      </c>
      <c r="BC19" s="100">
        <v>0.1</v>
      </c>
    </row>
    <row r="20" spans="2:55" ht="15.75" thickBot="1" x14ac:dyDescent="0.3">
      <c r="B20" s="1" t="s">
        <v>80</v>
      </c>
      <c r="G20" s="44" t="s">
        <v>625</v>
      </c>
      <c r="O20" s="1" t="s">
        <v>282</v>
      </c>
      <c r="Q20" s="1" t="s">
        <v>84</v>
      </c>
      <c r="S20" s="1" t="s">
        <v>341</v>
      </c>
      <c r="V20" s="10"/>
      <c r="AE20" s="10" t="s">
        <v>559</v>
      </c>
      <c r="AF20" s="10" t="s">
        <v>560</v>
      </c>
      <c r="AG20" s="10" t="s">
        <v>561</v>
      </c>
      <c r="AM20" s="1" t="s">
        <v>562</v>
      </c>
      <c r="AP20" s="38" t="s">
        <v>55</v>
      </c>
      <c r="AU20" s="1" t="s">
        <v>155</v>
      </c>
      <c r="AV20" s="1" t="s">
        <v>137</v>
      </c>
      <c r="AW20" s="208">
        <v>12</v>
      </c>
      <c r="AY20" s="1" t="s">
        <v>553</v>
      </c>
      <c r="AZ20" s="1" t="s">
        <v>367</v>
      </c>
      <c r="BA20" s="100">
        <v>7.4999999999999997E-2</v>
      </c>
      <c r="BB20" s="101">
        <v>0.125</v>
      </c>
      <c r="BC20" s="100"/>
    </row>
    <row r="21" spans="2:55" ht="15.75" thickBot="1" x14ac:dyDescent="0.3">
      <c r="G21" s="44" t="s">
        <v>795</v>
      </c>
      <c r="O21" s="1" t="s">
        <v>435</v>
      </c>
      <c r="Q21" s="1" t="s">
        <v>88</v>
      </c>
      <c r="S21" s="1" t="s">
        <v>343</v>
      </c>
      <c r="AE21" s="1" t="s">
        <v>350</v>
      </c>
      <c r="AF21" s="1" t="s">
        <v>364</v>
      </c>
      <c r="AG21" s="1" t="s">
        <v>326</v>
      </c>
      <c r="AL21" s="10" t="s">
        <v>790</v>
      </c>
      <c r="AM21" s="1" t="s">
        <v>564</v>
      </c>
      <c r="AP21" s="38" t="s">
        <v>56</v>
      </c>
      <c r="AU21" s="1" t="s">
        <v>992</v>
      </c>
      <c r="AV21" s="1" t="s">
        <v>137</v>
      </c>
      <c r="AW21" s="208">
        <v>13</v>
      </c>
      <c r="AY21" s="1" t="s">
        <v>553</v>
      </c>
      <c r="AZ21" s="1" t="s">
        <v>363</v>
      </c>
      <c r="BA21" s="100">
        <v>7.4999999999999997E-2</v>
      </c>
      <c r="BB21" s="101">
        <v>0.125</v>
      </c>
      <c r="BC21" s="100"/>
    </row>
    <row r="22" spans="2:55" ht="15.75" thickBot="1" x14ac:dyDescent="0.3">
      <c r="B22" s="1" t="s">
        <v>565</v>
      </c>
      <c r="G22" s="44" t="s">
        <v>675</v>
      </c>
      <c r="O22" s="1" t="s">
        <v>284</v>
      </c>
      <c r="S22" s="1" t="s">
        <v>344</v>
      </c>
      <c r="W22" s="10"/>
      <c r="X22" s="10"/>
      <c r="AE22" s="1" t="s">
        <v>351</v>
      </c>
      <c r="AF22" s="1" t="s">
        <v>365</v>
      </c>
      <c r="AG22" s="1" t="s">
        <v>107</v>
      </c>
      <c r="AL22" s="1" t="s">
        <v>270</v>
      </c>
      <c r="AP22" s="38" t="s">
        <v>57</v>
      </c>
      <c r="AU22" s="1" t="s">
        <v>156</v>
      </c>
      <c r="AV22" s="1" t="s">
        <v>137</v>
      </c>
      <c r="AW22" s="208">
        <v>14</v>
      </c>
      <c r="AY22" s="1" t="s">
        <v>553</v>
      </c>
      <c r="AZ22" s="1" t="s">
        <v>385</v>
      </c>
      <c r="BA22" s="100">
        <v>7.4999999999999997E-2</v>
      </c>
      <c r="BB22" s="101">
        <v>0.125</v>
      </c>
      <c r="BC22" s="100"/>
    </row>
    <row r="23" spans="2:55" ht="15.75" thickBot="1" x14ac:dyDescent="0.3">
      <c r="B23" s="1" t="s">
        <v>80</v>
      </c>
      <c r="G23" s="44" t="s">
        <v>659</v>
      </c>
      <c r="O23" s="1" t="s">
        <v>319</v>
      </c>
      <c r="P23" s="44"/>
      <c r="Q23" s="10" t="s">
        <v>567</v>
      </c>
      <c r="R23" s="10" t="s">
        <v>568</v>
      </c>
      <c r="S23" s="1" t="s">
        <v>345</v>
      </c>
      <c r="W23" s="10"/>
      <c r="X23" s="10"/>
      <c r="AF23" s="1" t="s">
        <v>366</v>
      </c>
      <c r="AG23" s="1" t="s">
        <v>360</v>
      </c>
      <c r="AL23" s="1" t="s">
        <v>569</v>
      </c>
      <c r="AP23" s="38" t="s">
        <v>58</v>
      </c>
      <c r="AU23" s="1" t="s">
        <v>993</v>
      </c>
      <c r="AV23" s="1" t="s">
        <v>137</v>
      </c>
      <c r="AW23" s="208">
        <v>15</v>
      </c>
      <c r="AY23" s="1" t="s">
        <v>553</v>
      </c>
      <c r="AZ23" s="1" t="s">
        <v>105</v>
      </c>
      <c r="BA23" s="100">
        <v>7.4999999999999997E-2</v>
      </c>
      <c r="BB23" s="101">
        <v>0.125</v>
      </c>
      <c r="BC23" s="100"/>
    </row>
    <row r="24" spans="2:55" x14ac:dyDescent="0.25">
      <c r="G24" s="44" t="s">
        <v>797</v>
      </c>
      <c r="O24" s="10" t="s">
        <v>571</v>
      </c>
      <c r="P24" s="44"/>
      <c r="Q24" s="1" t="s">
        <v>326</v>
      </c>
      <c r="R24" s="1" t="s">
        <v>106</v>
      </c>
      <c r="S24" s="1" t="s">
        <v>346</v>
      </c>
      <c r="U24" s="10" t="s">
        <v>109</v>
      </c>
      <c r="V24" s="10" t="s">
        <v>572</v>
      </c>
      <c r="W24" s="13"/>
      <c r="AF24" s="1" t="s">
        <v>106</v>
      </c>
      <c r="AG24" s="1" t="s">
        <v>361</v>
      </c>
      <c r="AU24" s="1" t="s">
        <v>994</v>
      </c>
      <c r="AV24" s="1" t="s">
        <v>137</v>
      </c>
      <c r="AW24" s="208">
        <v>16</v>
      </c>
      <c r="AY24" s="1" t="s">
        <v>553</v>
      </c>
      <c r="AZ24" s="1" t="s">
        <v>515</v>
      </c>
      <c r="BA24" s="100">
        <v>0.1</v>
      </c>
      <c r="BB24" s="101">
        <v>0.15</v>
      </c>
      <c r="BC24" s="100"/>
    </row>
    <row r="25" spans="2:55" ht="15.75" thickBot="1" x14ac:dyDescent="0.3">
      <c r="G25" s="44" t="s">
        <v>624</v>
      </c>
      <c r="O25" s="1" t="s">
        <v>78</v>
      </c>
      <c r="P25" s="44"/>
      <c r="Q25" s="1" t="s">
        <v>107</v>
      </c>
      <c r="S25" s="1" t="s">
        <v>347</v>
      </c>
      <c r="U25" s="1" t="s">
        <v>391</v>
      </c>
      <c r="V25" s="5" t="s">
        <v>115</v>
      </c>
      <c r="W25" s="5" t="s">
        <v>112</v>
      </c>
      <c r="X25" s="5"/>
      <c r="Y25" s="5"/>
      <c r="Z25" s="5"/>
      <c r="AG25" s="1" t="s">
        <v>352</v>
      </c>
      <c r="AL25" s="10" t="s">
        <v>791</v>
      </c>
      <c r="AP25" s="13" t="s">
        <v>124</v>
      </c>
      <c r="AQ25" s="13"/>
      <c r="AR25" s="13"/>
      <c r="AS25" s="13"/>
      <c r="AU25" s="1" t="s">
        <v>157</v>
      </c>
      <c r="AV25" s="1" t="s">
        <v>137</v>
      </c>
      <c r="AW25" s="208">
        <v>17</v>
      </c>
      <c r="AY25" s="1" t="s">
        <v>553</v>
      </c>
      <c r="AZ25" s="1" t="s">
        <v>23</v>
      </c>
      <c r="BA25" s="100">
        <v>0.125</v>
      </c>
      <c r="BB25" s="101">
        <v>0.15</v>
      </c>
      <c r="BC25" s="100"/>
    </row>
    <row r="26" spans="2:55" ht="15.75" thickBot="1" x14ac:dyDescent="0.3">
      <c r="B26" s="10" t="s">
        <v>789</v>
      </c>
      <c r="G26" s="44" t="s">
        <v>664</v>
      </c>
      <c r="O26" s="1" t="s">
        <v>575</v>
      </c>
      <c r="P26" s="44"/>
      <c r="Q26" s="1" t="s">
        <v>330</v>
      </c>
      <c r="U26" s="1" t="s">
        <v>425</v>
      </c>
      <c r="V26" s="5" t="s">
        <v>423</v>
      </c>
      <c r="W26" s="5"/>
      <c r="X26" s="5"/>
      <c r="Y26" s="5"/>
      <c r="Z26" s="5"/>
      <c r="AG26" s="1" t="s">
        <v>362</v>
      </c>
      <c r="AL26" s="1" t="s">
        <v>270</v>
      </c>
      <c r="AP26" s="13" t="s">
        <v>126</v>
      </c>
      <c r="AQ26" s="13"/>
      <c r="AR26" s="13"/>
      <c r="AS26" s="13"/>
      <c r="AU26" s="1" t="s">
        <v>158</v>
      </c>
      <c r="AV26" s="1" t="s">
        <v>137</v>
      </c>
      <c r="AW26" s="208">
        <v>18</v>
      </c>
      <c r="AY26" s="1" t="s">
        <v>544</v>
      </c>
      <c r="AZ26" s="1" t="s">
        <v>24</v>
      </c>
      <c r="BA26" s="100"/>
      <c r="BB26" s="101">
        <v>0.2</v>
      </c>
      <c r="BC26" s="100"/>
    </row>
    <row r="27" spans="2:55" ht="15.75" thickBot="1" x14ac:dyDescent="0.3">
      <c r="B27" s="112">
        <v>0.2</v>
      </c>
      <c r="G27" s="44" t="s">
        <v>558</v>
      </c>
      <c r="O27" s="1" t="s">
        <v>326</v>
      </c>
      <c r="P27" s="44"/>
      <c r="Q27" s="1" t="s">
        <v>333</v>
      </c>
      <c r="S27" s="10" t="s">
        <v>577</v>
      </c>
      <c r="U27" s="1" t="s">
        <v>394</v>
      </c>
      <c r="V27" s="5" t="s">
        <v>112</v>
      </c>
      <c r="W27" s="5"/>
      <c r="X27" s="5"/>
      <c r="Y27" s="5"/>
      <c r="Z27" s="5"/>
      <c r="AL27" s="1" t="s">
        <v>569</v>
      </c>
      <c r="AP27" s="13" t="s">
        <v>128</v>
      </c>
      <c r="AQ27" s="13"/>
      <c r="AR27" s="13"/>
      <c r="AS27" s="13"/>
      <c r="AU27" s="1" t="s">
        <v>159</v>
      </c>
      <c r="AV27" s="1" t="s">
        <v>137</v>
      </c>
      <c r="AW27" s="208">
        <v>19</v>
      </c>
      <c r="AZ27" s="1" t="s">
        <v>26</v>
      </c>
      <c r="BA27" s="112">
        <v>0.05</v>
      </c>
      <c r="BB27" s="112">
        <v>0.1</v>
      </c>
      <c r="BC27" s="112">
        <v>0.15</v>
      </c>
    </row>
    <row r="28" spans="2:55" ht="15.75" thickBot="1" x14ac:dyDescent="0.3">
      <c r="B28" s="112">
        <v>0.15</v>
      </c>
      <c r="G28" s="44" t="s">
        <v>680</v>
      </c>
      <c r="O28" s="1" t="s">
        <v>86</v>
      </c>
      <c r="P28" s="44"/>
      <c r="Q28" s="1" t="s">
        <v>86</v>
      </c>
      <c r="S28" s="1" t="s">
        <v>339</v>
      </c>
      <c r="U28" s="1" t="s">
        <v>395</v>
      </c>
      <c r="V28" s="5" t="s">
        <v>115</v>
      </c>
      <c r="W28" s="5" t="s">
        <v>112</v>
      </c>
      <c r="X28" s="5"/>
      <c r="Y28" s="5"/>
      <c r="Z28" s="5"/>
      <c r="AE28" s="10" t="s">
        <v>579</v>
      </c>
      <c r="AF28" s="10" t="s">
        <v>580</v>
      </c>
      <c r="AG28" s="10" t="s">
        <v>581</v>
      </c>
      <c r="AP28" s="13" t="s">
        <v>130</v>
      </c>
      <c r="AQ28" s="13"/>
      <c r="AR28" s="13"/>
      <c r="AS28" s="13"/>
      <c r="AU28" s="1" t="s">
        <v>163</v>
      </c>
      <c r="AV28" s="1" t="s">
        <v>137</v>
      </c>
      <c r="AW28" s="208">
        <v>20.3</v>
      </c>
      <c r="AZ28" s="1" t="s">
        <v>27</v>
      </c>
      <c r="BA28" s="112">
        <v>0.05</v>
      </c>
      <c r="BB28" s="112">
        <v>0.1</v>
      </c>
      <c r="BC28" s="112">
        <v>0.15</v>
      </c>
    </row>
    <row r="29" spans="2:55" ht="15.75" thickBot="1" x14ac:dyDescent="0.3">
      <c r="B29" s="112">
        <v>0.1</v>
      </c>
      <c r="G29" s="44" t="s">
        <v>563</v>
      </c>
      <c r="O29" s="1" t="s">
        <v>90</v>
      </c>
      <c r="P29" s="44"/>
      <c r="Q29" s="1" t="s">
        <v>84</v>
      </c>
      <c r="S29" s="1" t="s">
        <v>336</v>
      </c>
      <c r="U29" s="1" t="s">
        <v>393</v>
      </c>
      <c r="V29" s="5" t="s">
        <v>115</v>
      </c>
      <c r="W29" s="5"/>
      <c r="X29" s="5"/>
      <c r="Y29" s="5"/>
      <c r="Z29" s="5"/>
      <c r="AE29" s="1" t="s">
        <v>350</v>
      </c>
      <c r="AF29" s="1" t="s">
        <v>364</v>
      </c>
      <c r="AG29" s="1" t="s">
        <v>107</v>
      </c>
      <c r="AU29" s="1" t="s">
        <v>164</v>
      </c>
      <c r="AV29" s="1" t="s">
        <v>137</v>
      </c>
      <c r="AW29" s="208">
        <v>20.399999999999999</v>
      </c>
      <c r="AZ29" s="1" t="s">
        <v>28</v>
      </c>
      <c r="BA29" s="112">
        <v>0.05</v>
      </c>
      <c r="BB29" s="112">
        <v>0.1</v>
      </c>
      <c r="BC29" s="112">
        <v>0.15</v>
      </c>
    </row>
    <row r="30" spans="2:55" ht="15.75" thickBot="1" x14ac:dyDescent="0.3">
      <c r="G30" s="44" t="s">
        <v>685</v>
      </c>
      <c r="P30" s="44"/>
      <c r="Q30" s="1" t="s">
        <v>88</v>
      </c>
      <c r="R30" s="10" t="s">
        <v>586</v>
      </c>
      <c r="S30" s="10"/>
      <c r="U30" s="1" t="s">
        <v>414</v>
      </c>
      <c r="V30" s="5" t="s">
        <v>115</v>
      </c>
      <c r="W30" s="5" t="s">
        <v>112</v>
      </c>
      <c r="X30" s="5"/>
      <c r="Y30" s="5"/>
      <c r="Z30" s="5"/>
      <c r="AE30" s="1" t="s">
        <v>351</v>
      </c>
      <c r="AF30" s="1" t="s">
        <v>365</v>
      </c>
      <c r="AU30" s="1" t="s">
        <v>995</v>
      </c>
      <c r="AV30" s="1" t="s">
        <v>137</v>
      </c>
      <c r="AW30" s="208">
        <v>20.5</v>
      </c>
      <c r="AY30" s="1" t="s">
        <v>520</v>
      </c>
      <c r="AZ30" s="1" t="s">
        <v>340</v>
      </c>
      <c r="BA30" s="112"/>
      <c r="BB30" s="112"/>
      <c r="BC30" s="112">
        <v>0.2</v>
      </c>
    </row>
    <row r="31" spans="2:55" ht="15.75" thickBot="1" x14ac:dyDescent="0.3">
      <c r="G31" s="44" t="s">
        <v>665</v>
      </c>
      <c r="O31" s="10"/>
      <c r="P31" s="45"/>
      <c r="R31" s="1" t="s">
        <v>355</v>
      </c>
      <c r="U31" s="1" t="s">
        <v>396</v>
      </c>
      <c r="V31" s="5" t="s">
        <v>115</v>
      </c>
      <c r="W31" s="5" t="s">
        <v>112</v>
      </c>
      <c r="X31" s="5"/>
      <c r="Y31" s="5"/>
      <c r="Z31" s="5"/>
      <c r="AF31" s="1" t="s">
        <v>366</v>
      </c>
      <c r="AU31" s="1" t="s">
        <v>582</v>
      </c>
      <c r="AV31" s="1" t="s">
        <v>137</v>
      </c>
      <c r="AW31" s="208" t="s">
        <v>160</v>
      </c>
      <c r="AY31" s="1" t="s">
        <v>520</v>
      </c>
      <c r="AZ31" s="1" t="s">
        <v>588</v>
      </c>
      <c r="BC31" s="112">
        <v>0.2</v>
      </c>
    </row>
    <row r="32" spans="2:55" ht="15.75" thickBot="1" x14ac:dyDescent="0.3">
      <c r="G32" s="44" t="s">
        <v>566</v>
      </c>
      <c r="O32" s="10" t="s">
        <v>590</v>
      </c>
      <c r="P32" s="45" t="s">
        <v>591</v>
      </c>
      <c r="Q32" s="10" t="s">
        <v>592</v>
      </c>
      <c r="R32" s="1" t="s">
        <v>357</v>
      </c>
      <c r="U32" s="1" t="s">
        <v>422</v>
      </c>
      <c r="V32" s="5" t="s">
        <v>423</v>
      </c>
      <c r="W32" s="5"/>
      <c r="X32" s="5"/>
      <c r="Y32" s="5"/>
      <c r="Z32" s="5"/>
      <c r="AF32" s="1" t="s">
        <v>106</v>
      </c>
      <c r="AU32" s="1" t="s">
        <v>584</v>
      </c>
      <c r="AV32" s="1" t="s">
        <v>137</v>
      </c>
      <c r="AW32" s="208" t="s">
        <v>161</v>
      </c>
      <c r="AY32" s="1" t="s">
        <v>509</v>
      </c>
      <c r="AZ32" s="64" t="s">
        <v>266</v>
      </c>
      <c r="BA32" s="144">
        <v>0.05</v>
      </c>
      <c r="BB32" s="144">
        <v>0.1</v>
      </c>
      <c r="BC32" s="144">
        <v>0.15</v>
      </c>
    </row>
    <row r="33" spans="4:55" ht="15.75" thickBot="1" x14ac:dyDescent="0.3">
      <c r="G33" s="44" t="s">
        <v>618</v>
      </c>
      <c r="O33" s="1" t="s">
        <v>81</v>
      </c>
      <c r="P33" s="44" t="s">
        <v>79</v>
      </c>
      <c r="Q33" s="1" t="s">
        <v>326</v>
      </c>
      <c r="R33" s="1" t="s">
        <v>358</v>
      </c>
      <c r="U33" s="1" t="s">
        <v>415</v>
      </c>
      <c r="V33" s="5" t="s">
        <v>115</v>
      </c>
      <c r="W33" s="5" t="s">
        <v>402</v>
      </c>
      <c r="X33" s="5" t="s">
        <v>112</v>
      </c>
      <c r="Y33" s="5"/>
      <c r="Z33" s="5"/>
      <c r="AU33" s="1" t="s">
        <v>587</v>
      </c>
      <c r="AV33" s="1" t="s">
        <v>137</v>
      </c>
      <c r="AW33" s="208" t="s">
        <v>162</v>
      </c>
      <c r="AY33" s="1" t="s">
        <v>509</v>
      </c>
      <c r="AZ33" s="64" t="s">
        <v>268</v>
      </c>
      <c r="BA33" s="144">
        <v>2.5000000000000001E-2</v>
      </c>
      <c r="BB33" s="144">
        <v>0.05</v>
      </c>
      <c r="BC33" s="144">
        <v>0.1</v>
      </c>
    </row>
    <row r="34" spans="4:55" ht="15.75" thickBot="1" x14ac:dyDescent="0.3">
      <c r="G34" s="44" t="s">
        <v>623</v>
      </c>
      <c r="O34" s="1" t="s">
        <v>308</v>
      </c>
      <c r="P34" s="45"/>
      <c r="Q34" s="1" t="s">
        <v>330</v>
      </c>
      <c r="U34" s="1" t="s">
        <v>408</v>
      </c>
      <c r="V34" s="5" t="s">
        <v>115</v>
      </c>
      <c r="W34" s="5" t="s">
        <v>402</v>
      </c>
      <c r="X34" s="5" t="s">
        <v>112</v>
      </c>
      <c r="Y34" s="5"/>
      <c r="Z34" s="209"/>
      <c r="AE34" s="10" t="s">
        <v>595</v>
      </c>
      <c r="AF34" s="10" t="s">
        <v>596</v>
      </c>
      <c r="AG34" s="10" t="s">
        <v>597</v>
      </c>
      <c r="AH34" s="10" t="s">
        <v>598</v>
      </c>
      <c r="AI34" s="10" t="s">
        <v>599</v>
      </c>
      <c r="AJ34" s="10" t="s">
        <v>600</v>
      </c>
      <c r="AU34" s="1" t="s">
        <v>165</v>
      </c>
      <c r="AV34" s="1" t="s">
        <v>137</v>
      </c>
      <c r="AW34" s="208">
        <v>21</v>
      </c>
      <c r="AY34" s="1" t="s">
        <v>509</v>
      </c>
      <c r="AZ34" s="1" t="s">
        <v>519</v>
      </c>
      <c r="BA34" s="144">
        <v>0.05</v>
      </c>
      <c r="BB34" s="144">
        <v>0.1</v>
      </c>
      <c r="BC34" s="144">
        <v>0.15</v>
      </c>
    </row>
    <row r="35" spans="4:55" ht="15.75" thickBot="1" x14ac:dyDescent="0.3">
      <c r="G35" s="44" t="s">
        <v>649</v>
      </c>
      <c r="P35" s="44"/>
      <c r="Q35" s="10" t="s">
        <v>602</v>
      </c>
      <c r="U35" s="1" t="s">
        <v>397</v>
      </c>
      <c r="V35" s="5" t="s">
        <v>115</v>
      </c>
      <c r="W35" s="5" t="s">
        <v>112</v>
      </c>
      <c r="X35" s="5"/>
      <c r="Y35" s="5"/>
      <c r="Z35" s="5"/>
      <c r="AE35" s="1" t="s">
        <v>371</v>
      </c>
      <c r="AF35" s="1" t="s">
        <v>369</v>
      </c>
      <c r="AG35" s="1" t="s">
        <v>370</v>
      </c>
      <c r="AH35" s="1" t="s">
        <v>375</v>
      </c>
      <c r="AI35" s="1" t="s">
        <v>378</v>
      </c>
      <c r="AJ35" s="1" t="s">
        <v>383</v>
      </c>
      <c r="AU35" s="1" t="s">
        <v>166</v>
      </c>
      <c r="AV35" s="1" t="s">
        <v>137</v>
      </c>
      <c r="AW35" s="208">
        <v>22</v>
      </c>
      <c r="AY35" s="1" t="s">
        <v>509</v>
      </c>
      <c r="AZ35" s="1" t="s">
        <v>269</v>
      </c>
      <c r="BA35" s="144">
        <v>2.5000000000000001E-2</v>
      </c>
      <c r="BB35" s="144">
        <v>0.05</v>
      </c>
      <c r="BC35" s="144">
        <v>0.1</v>
      </c>
    </row>
    <row r="36" spans="4:55" ht="15" customHeight="1" thickBot="1" x14ac:dyDescent="0.3">
      <c r="G36" s="44" t="s">
        <v>570</v>
      </c>
      <c r="O36" s="10" t="s">
        <v>604</v>
      </c>
      <c r="P36" s="45" t="s">
        <v>605</v>
      </c>
      <c r="Q36" s="1" t="s">
        <v>326</v>
      </c>
      <c r="R36" s="10" t="s">
        <v>606</v>
      </c>
      <c r="S36" s="10"/>
      <c r="U36" s="1" t="s">
        <v>111</v>
      </c>
      <c r="V36" s="5" t="s">
        <v>112</v>
      </c>
      <c r="W36" s="5" t="s">
        <v>402</v>
      </c>
      <c r="X36" s="5"/>
      <c r="Y36" s="5"/>
      <c r="Z36" s="5"/>
      <c r="AE36" s="1" t="s">
        <v>372</v>
      </c>
      <c r="AF36" s="1" t="s">
        <v>374</v>
      </c>
      <c r="AG36" s="1" t="s">
        <v>373</v>
      </c>
      <c r="AH36" s="1" t="s">
        <v>376</v>
      </c>
      <c r="AI36" s="1" t="s">
        <v>379</v>
      </c>
      <c r="AJ36" s="1" t="s">
        <v>384</v>
      </c>
      <c r="AU36" s="1" t="s">
        <v>996</v>
      </c>
      <c r="AV36" s="1" t="s">
        <v>137</v>
      </c>
      <c r="AW36" s="208" t="s">
        <v>168</v>
      </c>
      <c r="AY36" s="1" t="s">
        <v>565</v>
      </c>
      <c r="AZ36" s="1" t="s">
        <v>274</v>
      </c>
      <c r="BA36" s="144">
        <v>0.05</v>
      </c>
    </row>
    <row r="37" spans="4:55" ht="15.95" customHeight="1" thickBot="1" x14ac:dyDescent="0.3">
      <c r="G37" s="44" t="s">
        <v>643</v>
      </c>
      <c r="O37" s="1" t="s">
        <v>81</v>
      </c>
      <c r="P37" s="44" t="s">
        <v>85</v>
      </c>
      <c r="Q37" s="1" t="s">
        <v>107</v>
      </c>
      <c r="R37" s="1" t="s">
        <v>326</v>
      </c>
      <c r="U37" s="1" t="s">
        <v>420</v>
      </c>
      <c r="V37" s="5" t="s">
        <v>421</v>
      </c>
      <c r="W37" s="5"/>
      <c r="X37" s="5"/>
      <c r="Y37" s="5"/>
      <c r="Z37" s="5"/>
      <c r="AF37" s="1" t="s">
        <v>377</v>
      </c>
      <c r="AI37" s="1" t="s">
        <v>380</v>
      </c>
      <c r="AU37" s="1" t="s">
        <v>607</v>
      </c>
      <c r="AV37" s="1" t="s">
        <v>137</v>
      </c>
      <c r="AW37" s="208" t="s">
        <v>167</v>
      </c>
      <c r="AY37" s="1" t="s">
        <v>565</v>
      </c>
      <c r="AZ37" s="1" t="s">
        <v>276</v>
      </c>
      <c r="BA37" s="144">
        <v>2.5000000000000001E-2</v>
      </c>
    </row>
    <row r="38" spans="4:55" ht="15.75" thickBot="1" x14ac:dyDescent="0.3">
      <c r="G38" s="44" t="s">
        <v>573</v>
      </c>
      <c r="O38" s="1" t="s">
        <v>310</v>
      </c>
      <c r="P38" s="44"/>
      <c r="Q38" s="1" t="s">
        <v>330</v>
      </c>
      <c r="R38" s="1" t="s">
        <v>107</v>
      </c>
      <c r="U38" s="1" t="s">
        <v>398</v>
      </c>
      <c r="V38" s="5" t="s">
        <v>115</v>
      </c>
      <c r="W38" s="5" t="s">
        <v>112</v>
      </c>
      <c r="X38" s="5"/>
      <c r="Y38" s="5"/>
      <c r="Z38" s="5"/>
      <c r="AF38" s="1" t="s">
        <v>382</v>
      </c>
      <c r="AI38" s="1" t="s">
        <v>381</v>
      </c>
      <c r="AU38" s="1" t="s">
        <v>170</v>
      </c>
      <c r="AV38" s="1" t="s">
        <v>137</v>
      </c>
      <c r="AW38" s="208" t="s">
        <v>169</v>
      </c>
      <c r="AY38" s="1" t="s">
        <v>565</v>
      </c>
      <c r="AZ38" s="1" t="s">
        <v>975</v>
      </c>
      <c r="BA38" s="112">
        <v>0.1</v>
      </c>
    </row>
    <row r="39" spans="4:55" ht="15.75" thickBot="1" x14ac:dyDescent="0.3">
      <c r="D39" s="13"/>
      <c r="G39" s="44" t="s">
        <v>576</v>
      </c>
      <c r="P39" s="44"/>
      <c r="Q39" s="1" t="s">
        <v>333</v>
      </c>
      <c r="R39" s="1" t="s">
        <v>360</v>
      </c>
      <c r="U39" s="1" t="s">
        <v>424</v>
      </c>
      <c r="V39" s="5" t="s">
        <v>423</v>
      </c>
      <c r="W39" s="5"/>
      <c r="X39" s="5"/>
      <c r="Y39" s="5"/>
      <c r="Z39" s="5"/>
      <c r="AU39" s="1" t="s">
        <v>172</v>
      </c>
      <c r="AV39" s="1" t="s">
        <v>137</v>
      </c>
      <c r="AW39" s="208" t="s">
        <v>171</v>
      </c>
      <c r="AY39" s="1" t="s">
        <v>565</v>
      </c>
      <c r="AZ39" s="1" t="s">
        <v>970</v>
      </c>
      <c r="BA39" s="144">
        <v>0.1</v>
      </c>
    </row>
    <row r="40" spans="4:55" ht="15.75" thickBot="1" x14ac:dyDescent="0.3">
      <c r="D40" s="13"/>
      <c r="G40" s="44" t="s">
        <v>666</v>
      </c>
      <c r="P40" s="44"/>
      <c r="Q40" s="1" t="s">
        <v>86</v>
      </c>
      <c r="R40" s="1" t="s">
        <v>361</v>
      </c>
      <c r="U40" s="1" t="s">
        <v>426</v>
      </c>
      <c r="V40" s="5" t="s">
        <v>423</v>
      </c>
      <c r="W40" s="5"/>
      <c r="X40" s="5"/>
      <c r="Y40" s="5"/>
      <c r="Z40" s="5"/>
      <c r="AU40" s="1" t="s">
        <v>174</v>
      </c>
      <c r="AV40" s="1" t="s">
        <v>137</v>
      </c>
      <c r="AW40" s="208">
        <v>25.4</v>
      </c>
    </row>
    <row r="41" spans="4:55" ht="15.75" thickBot="1" x14ac:dyDescent="0.3">
      <c r="G41" s="44" t="s">
        <v>585</v>
      </c>
      <c r="O41" s="10" t="s">
        <v>614</v>
      </c>
      <c r="P41" s="45" t="s">
        <v>615</v>
      </c>
      <c r="Q41" s="1" t="s">
        <v>84</v>
      </c>
      <c r="R41" s="1" t="s">
        <v>352</v>
      </c>
      <c r="U41" s="1" t="s">
        <v>399</v>
      </c>
      <c r="V41" s="5" t="s">
        <v>115</v>
      </c>
      <c r="W41" s="5" t="s">
        <v>112</v>
      </c>
      <c r="X41" s="5"/>
      <c r="Y41" s="5"/>
      <c r="Z41" s="5"/>
      <c r="AU41" s="1" t="s">
        <v>612</v>
      </c>
      <c r="AV41" s="1" t="s">
        <v>137</v>
      </c>
      <c r="AW41" s="208" t="s">
        <v>173</v>
      </c>
    </row>
    <row r="42" spans="4:55" ht="15.75" thickBot="1" x14ac:dyDescent="0.3">
      <c r="G42" s="1" t="s">
        <v>578</v>
      </c>
      <c r="O42" s="1" t="s">
        <v>81</v>
      </c>
      <c r="P42" s="44" t="s">
        <v>91</v>
      </c>
      <c r="Q42" s="1" t="s">
        <v>88</v>
      </c>
      <c r="R42" s="1" t="s">
        <v>362</v>
      </c>
      <c r="U42" s="1" t="s">
        <v>401</v>
      </c>
      <c r="V42" s="5" t="s">
        <v>115</v>
      </c>
      <c r="W42" s="5" t="s">
        <v>112</v>
      </c>
      <c r="X42" s="5"/>
      <c r="Y42" s="5"/>
      <c r="Z42" s="5"/>
      <c r="AU42" s="1" t="s">
        <v>175</v>
      </c>
      <c r="AV42" s="1" t="s">
        <v>137</v>
      </c>
      <c r="AW42" s="208">
        <v>26</v>
      </c>
    </row>
    <row r="43" spans="4:55" ht="15.75" thickBot="1" x14ac:dyDescent="0.3">
      <c r="G43" s="1" t="s">
        <v>798</v>
      </c>
      <c r="O43" s="1" t="s">
        <v>310</v>
      </c>
      <c r="P43" s="44"/>
      <c r="U43" s="1" t="s">
        <v>410</v>
      </c>
      <c r="V43" s="5" t="s">
        <v>115</v>
      </c>
      <c r="W43" s="194"/>
      <c r="X43" s="194"/>
      <c r="Y43" s="194"/>
      <c r="Z43" s="5"/>
      <c r="AU43" s="1" t="s">
        <v>176</v>
      </c>
      <c r="AV43" s="1" t="s">
        <v>137</v>
      </c>
      <c r="AW43" s="208">
        <v>27</v>
      </c>
    </row>
    <row r="44" spans="4:55" ht="15.75" thickBot="1" x14ac:dyDescent="0.3">
      <c r="G44" s="1" t="s">
        <v>672</v>
      </c>
      <c r="P44" s="44"/>
      <c r="Q44" s="10" t="s">
        <v>619</v>
      </c>
      <c r="U44" s="1" t="s">
        <v>411</v>
      </c>
      <c r="V44" s="5" t="s">
        <v>115</v>
      </c>
      <c r="W44" s="194"/>
      <c r="X44" s="194"/>
      <c r="Y44" s="194"/>
      <c r="Z44" s="5"/>
      <c r="AU44" s="1" t="s">
        <v>177</v>
      </c>
      <c r="AV44" s="1" t="s">
        <v>137</v>
      </c>
      <c r="AW44" s="208">
        <v>28</v>
      </c>
    </row>
    <row r="45" spans="4:55" ht="15.75" thickBot="1" x14ac:dyDescent="0.3">
      <c r="G45" s="1" t="s">
        <v>644</v>
      </c>
      <c r="O45" s="10" t="s">
        <v>86</v>
      </c>
      <c r="P45" s="45" t="s">
        <v>621</v>
      </c>
      <c r="Q45" s="1" t="s">
        <v>326</v>
      </c>
      <c r="R45" s="10" t="s">
        <v>622</v>
      </c>
      <c r="S45" s="10"/>
      <c r="U45" s="1" t="s">
        <v>412</v>
      </c>
      <c r="V45" s="5" t="s">
        <v>115</v>
      </c>
      <c r="W45" s="194" t="s">
        <v>406</v>
      </c>
      <c r="X45" s="194"/>
      <c r="Y45" s="194"/>
      <c r="Z45" s="5"/>
      <c r="AU45" s="1" t="s">
        <v>178</v>
      </c>
      <c r="AV45" s="1" t="s">
        <v>137</v>
      </c>
      <c r="AW45" s="208">
        <v>29</v>
      </c>
    </row>
    <row r="46" spans="4:55" ht="15.75" thickBot="1" x14ac:dyDescent="0.3">
      <c r="G46" s="1" t="s">
        <v>583</v>
      </c>
      <c r="O46" s="44" t="s">
        <v>81</v>
      </c>
      <c r="P46" s="44" t="s">
        <v>87</v>
      </c>
      <c r="Q46" s="1" t="s">
        <v>107</v>
      </c>
      <c r="R46" s="1" t="s">
        <v>326</v>
      </c>
      <c r="U46" s="1" t="s">
        <v>409</v>
      </c>
      <c r="V46" s="5" t="s">
        <v>115</v>
      </c>
      <c r="W46" s="194"/>
      <c r="X46" s="194"/>
      <c r="Y46" s="194"/>
      <c r="Z46" s="5"/>
      <c r="AU46" s="1" t="s">
        <v>179</v>
      </c>
      <c r="AV46" s="1" t="s">
        <v>137</v>
      </c>
      <c r="AW46" s="208">
        <v>30.1</v>
      </c>
    </row>
    <row r="47" spans="4:55" ht="15.75" thickBot="1" x14ac:dyDescent="0.3">
      <c r="G47" s="1" t="s">
        <v>632</v>
      </c>
      <c r="O47" s="44" t="s">
        <v>310</v>
      </c>
      <c r="Q47" s="1" t="s">
        <v>330</v>
      </c>
      <c r="R47" s="1" t="s">
        <v>107</v>
      </c>
      <c r="U47" s="1" t="s">
        <v>413</v>
      </c>
      <c r="V47" s="5" t="s">
        <v>115</v>
      </c>
      <c r="W47" s="5"/>
      <c r="X47" s="5"/>
      <c r="Y47" s="5"/>
      <c r="Z47" s="5"/>
      <c r="AU47" s="1" t="s">
        <v>180</v>
      </c>
      <c r="AV47" s="1" t="s">
        <v>137</v>
      </c>
      <c r="AW47" s="208">
        <v>30.3</v>
      </c>
    </row>
    <row r="48" spans="4:55" ht="15.75" thickBot="1" x14ac:dyDescent="0.3">
      <c r="G48" s="1" t="s">
        <v>667</v>
      </c>
      <c r="Q48" s="1" t="s">
        <v>333</v>
      </c>
      <c r="R48" s="1" t="s">
        <v>84</v>
      </c>
      <c r="U48" s="1" t="s">
        <v>114</v>
      </c>
      <c r="V48" s="5" t="s">
        <v>115</v>
      </c>
      <c r="W48" s="5" t="s">
        <v>402</v>
      </c>
      <c r="X48" s="5" t="s">
        <v>112</v>
      </c>
      <c r="Y48" s="5"/>
      <c r="Z48" s="5"/>
      <c r="AH48" s="10" t="s">
        <v>626</v>
      </c>
      <c r="AU48" s="1" t="s">
        <v>182</v>
      </c>
      <c r="AV48" s="1" t="s">
        <v>137</v>
      </c>
      <c r="AW48" s="208" t="s">
        <v>181</v>
      </c>
    </row>
    <row r="49" spans="7:49" ht="15.75" thickBot="1" x14ac:dyDescent="0.3">
      <c r="G49" s="1" t="s">
        <v>662</v>
      </c>
      <c r="O49" s="10" t="s">
        <v>326</v>
      </c>
      <c r="P49" s="10" t="s">
        <v>627</v>
      </c>
      <c r="Q49" s="1" t="s">
        <v>86</v>
      </c>
      <c r="R49" s="1" t="s">
        <v>352</v>
      </c>
      <c r="U49" s="1" t="s">
        <v>419</v>
      </c>
      <c r="V49" s="5" t="s">
        <v>402</v>
      </c>
      <c r="W49" s="5"/>
      <c r="X49" s="5"/>
      <c r="Y49" s="5"/>
      <c r="Z49" s="5"/>
      <c r="AE49" s="10" t="s">
        <v>628</v>
      </c>
      <c r="AF49" s="10" t="s">
        <v>629</v>
      </c>
      <c r="AG49" s="10" t="s">
        <v>630</v>
      </c>
      <c r="AH49" s="10" t="s">
        <v>631</v>
      </c>
      <c r="AI49" s="13"/>
      <c r="AJ49" s="13"/>
      <c r="AU49" s="1" t="s">
        <v>183</v>
      </c>
      <c r="AV49" s="1" t="s">
        <v>137</v>
      </c>
      <c r="AW49" s="208">
        <v>31</v>
      </c>
    </row>
    <row r="50" spans="7:49" ht="15.75" thickBot="1" x14ac:dyDescent="0.3">
      <c r="G50" s="1" t="s">
        <v>670</v>
      </c>
      <c r="O50" s="1" t="s">
        <v>81</v>
      </c>
      <c r="P50" s="1" t="s">
        <v>327</v>
      </c>
      <c r="Q50" s="1" t="s">
        <v>84</v>
      </c>
      <c r="R50" s="1" t="s">
        <v>353</v>
      </c>
      <c r="U50" s="1" t="s">
        <v>416</v>
      </c>
      <c r="V50" s="5" t="s">
        <v>402</v>
      </c>
      <c r="W50" s="5" t="s">
        <v>406</v>
      </c>
      <c r="X50" s="5" t="s">
        <v>112</v>
      </c>
      <c r="Y50" s="5" t="s">
        <v>407</v>
      </c>
      <c r="Z50" s="5"/>
      <c r="AE50" s="1" t="s">
        <v>371</v>
      </c>
      <c r="AF50" s="1" t="s">
        <v>386</v>
      </c>
      <c r="AG50" s="1" t="s">
        <v>106</v>
      </c>
      <c r="AH50" s="1" t="s">
        <v>106</v>
      </c>
      <c r="AU50" s="1" t="s">
        <v>184</v>
      </c>
      <c r="AV50" s="1" t="s">
        <v>137</v>
      </c>
      <c r="AW50" s="208">
        <v>32</v>
      </c>
    </row>
    <row r="51" spans="7:49" ht="15.75" thickBot="1" x14ac:dyDescent="0.3">
      <c r="G51" s="1" t="s">
        <v>1</v>
      </c>
      <c r="O51" s="1" t="s">
        <v>310</v>
      </c>
      <c r="P51" s="1" t="s">
        <v>328</v>
      </c>
      <c r="Q51" s="1" t="s">
        <v>88</v>
      </c>
      <c r="U51" s="1" t="s">
        <v>417</v>
      </c>
      <c r="V51" s="5" t="s">
        <v>402</v>
      </c>
      <c r="W51" s="5" t="s">
        <v>406</v>
      </c>
      <c r="X51" s="5" t="s">
        <v>112</v>
      </c>
      <c r="Y51" s="5" t="s">
        <v>407</v>
      </c>
      <c r="Z51" s="5"/>
      <c r="AE51" s="1" t="s">
        <v>372</v>
      </c>
      <c r="AF51" s="1" t="s">
        <v>633</v>
      </c>
      <c r="AH51" s="1" t="s">
        <v>387</v>
      </c>
      <c r="AU51" s="1" t="s">
        <v>185</v>
      </c>
      <c r="AV51" s="1" t="s">
        <v>137</v>
      </c>
      <c r="AW51" s="208">
        <v>33.15</v>
      </c>
    </row>
    <row r="52" spans="7:49" ht="15.75" thickBot="1" x14ac:dyDescent="0.3">
      <c r="G52" s="1" t="s">
        <v>645</v>
      </c>
      <c r="Q52" s="10" t="s">
        <v>634</v>
      </c>
      <c r="R52" s="10" t="s">
        <v>635</v>
      </c>
      <c r="S52" s="10"/>
      <c r="U52" s="1" t="s">
        <v>418</v>
      </c>
      <c r="V52" s="5" t="s">
        <v>402</v>
      </c>
      <c r="W52" s="5" t="s">
        <v>406</v>
      </c>
      <c r="X52" s="5" t="s">
        <v>112</v>
      </c>
      <c r="Y52" s="5" t="s">
        <v>407</v>
      </c>
      <c r="Z52" s="5"/>
      <c r="AF52" s="1" t="s">
        <v>636</v>
      </c>
      <c r="AH52" s="1" t="s">
        <v>388</v>
      </c>
      <c r="AU52" s="1" t="s">
        <v>186</v>
      </c>
      <c r="AV52" s="1" t="s">
        <v>137</v>
      </c>
      <c r="AW52" s="208">
        <v>33.159999999999997</v>
      </c>
    </row>
    <row r="53" spans="7:49" ht="15.75" thickBot="1" x14ac:dyDescent="0.3">
      <c r="G53" s="1" t="s">
        <v>796</v>
      </c>
      <c r="O53" s="10" t="s">
        <v>107</v>
      </c>
      <c r="P53" s="10" t="s">
        <v>637</v>
      </c>
      <c r="Q53" s="1" t="s">
        <v>326</v>
      </c>
      <c r="R53" s="1" t="s">
        <v>326</v>
      </c>
      <c r="U53" s="1" t="s">
        <v>403</v>
      </c>
      <c r="V53" s="5" t="s">
        <v>115</v>
      </c>
      <c r="W53" s="5" t="s">
        <v>112</v>
      </c>
      <c r="X53" s="5"/>
      <c r="Y53" s="5"/>
      <c r="Z53" s="5"/>
      <c r="AU53" s="1" t="s">
        <v>188</v>
      </c>
      <c r="AV53" s="1" t="s">
        <v>137</v>
      </c>
      <c r="AW53" s="208" t="s">
        <v>187</v>
      </c>
    </row>
    <row r="54" spans="7:49" ht="15.75" thickBot="1" x14ac:dyDescent="0.3">
      <c r="G54" s="1" t="s">
        <v>589</v>
      </c>
      <c r="H54" s="13"/>
      <c r="O54" s="1" t="s">
        <v>81</v>
      </c>
      <c r="P54" s="1" t="s">
        <v>327</v>
      </c>
      <c r="Q54" s="1" t="s">
        <v>107</v>
      </c>
      <c r="U54" s="1" t="s">
        <v>638</v>
      </c>
      <c r="V54" s="5" t="s">
        <v>115</v>
      </c>
      <c r="W54" s="5" t="s">
        <v>112</v>
      </c>
      <c r="X54" s="5"/>
      <c r="Y54" s="5"/>
      <c r="Z54" s="5"/>
      <c r="AU54" s="1" t="s">
        <v>190</v>
      </c>
      <c r="AV54" s="1" t="s">
        <v>189</v>
      </c>
      <c r="AW54" s="208">
        <v>35.1</v>
      </c>
    </row>
    <row r="55" spans="7:49" ht="15.75" thickBot="1" x14ac:dyDescent="0.3">
      <c r="G55" s="1" t="s">
        <v>684</v>
      </c>
      <c r="O55" s="1" t="s">
        <v>310</v>
      </c>
      <c r="P55" s="1" t="s">
        <v>329</v>
      </c>
      <c r="Q55" s="1" t="s">
        <v>330</v>
      </c>
      <c r="U55" s="1" t="s">
        <v>404</v>
      </c>
      <c r="V55" s="5" t="s">
        <v>115</v>
      </c>
      <c r="W55" s="5" t="s">
        <v>112</v>
      </c>
      <c r="X55" s="5"/>
      <c r="Y55" s="5"/>
      <c r="Z55" s="5"/>
      <c r="AU55" s="1" t="s">
        <v>997</v>
      </c>
      <c r="AV55" s="1" t="s">
        <v>189</v>
      </c>
      <c r="AW55" s="208" t="s">
        <v>191</v>
      </c>
    </row>
    <row r="56" spans="7:49" ht="15.75" thickBot="1" x14ac:dyDescent="0.3">
      <c r="G56" s="1" t="s">
        <v>593</v>
      </c>
      <c r="Q56" s="1" t="s">
        <v>333</v>
      </c>
      <c r="R56" s="10" t="s">
        <v>639</v>
      </c>
      <c r="S56" s="10"/>
      <c r="U56" s="1" t="s">
        <v>405</v>
      </c>
      <c r="V56" s="5" t="s">
        <v>115</v>
      </c>
      <c r="W56" s="5" t="s">
        <v>402</v>
      </c>
      <c r="X56" s="5" t="s">
        <v>406</v>
      </c>
      <c r="Y56" s="5" t="s">
        <v>112</v>
      </c>
      <c r="Z56" s="5"/>
      <c r="AU56" s="1" t="s">
        <v>193</v>
      </c>
      <c r="AV56" s="1" t="s">
        <v>192</v>
      </c>
      <c r="AW56" s="208">
        <v>36</v>
      </c>
    </row>
    <row r="57" spans="7:49" x14ac:dyDescent="0.25">
      <c r="G57" s="1" t="s">
        <v>656</v>
      </c>
      <c r="O57" s="10" t="s">
        <v>641</v>
      </c>
      <c r="P57" s="45" t="s">
        <v>642</v>
      </c>
      <c r="Q57" s="1" t="s">
        <v>86</v>
      </c>
      <c r="R57" s="1" t="s">
        <v>350</v>
      </c>
      <c r="AU57" s="1" t="s">
        <v>194</v>
      </c>
      <c r="AV57" s="1" t="s">
        <v>192</v>
      </c>
      <c r="AW57" s="208">
        <v>37</v>
      </c>
    </row>
    <row r="58" spans="7:49" x14ac:dyDescent="0.25">
      <c r="G58" s="1" t="s">
        <v>660</v>
      </c>
      <c r="O58" s="1" t="s">
        <v>81</v>
      </c>
      <c r="P58" s="1" t="s">
        <v>89</v>
      </c>
      <c r="Q58" s="1" t="s">
        <v>84</v>
      </c>
      <c r="R58" s="1" t="s">
        <v>351</v>
      </c>
      <c r="AU58" s="1" t="s">
        <v>195</v>
      </c>
      <c r="AV58" s="1" t="s">
        <v>192</v>
      </c>
      <c r="AW58" s="208">
        <v>38</v>
      </c>
    </row>
    <row r="59" spans="7:49" x14ac:dyDescent="0.25">
      <c r="G59" s="1" t="s">
        <v>594</v>
      </c>
      <c r="O59" s="1" t="s">
        <v>310</v>
      </c>
      <c r="AU59" s="1" t="s">
        <v>196</v>
      </c>
      <c r="AV59" s="1" t="s">
        <v>192</v>
      </c>
      <c r="AW59" s="208">
        <v>39</v>
      </c>
    </row>
    <row r="60" spans="7:49" x14ac:dyDescent="0.25">
      <c r="G60" s="1" t="s">
        <v>601</v>
      </c>
      <c r="O60" s="10" t="s">
        <v>646</v>
      </c>
      <c r="P60" s="10" t="s">
        <v>647</v>
      </c>
      <c r="R60" s="10" t="s">
        <v>648</v>
      </c>
      <c r="S60" s="10"/>
      <c r="AU60" s="1" t="s">
        <v>998</v>
      </c>
      <c r="AV60" s="1" t="s">
        <v>197</v>
      </c>
      <c r="AW60" s="208">
        <v>41.2</v>
      </c>
    </row>
    <row r="61" spans="7:49" x14ac:dyDescent="0.25">
      <c r="G61" s="1" t="s">
        <v>794</v>
      </c>
      <c r="O61" s="1" t="s">
        <v>81</v>
      </c>
      <c r="P61" s="1" t="s">
        <v>315</v>
      </c>
      <c r="R61" s="1" t="s">
        <v>350</v>
      </c>
      <c r="AU61" s="1" t="s">
        <v>999</v>
      </c>
      <c r="AV61" s="1" t="s">
        <v>197</v>
      </c>
      <c r="AW61" s="208" t="s">
        <v>1012</v>
      </c>
    </row>
    <row r="62" spans="7:49" x14ac:dyDescent="0.25">
      <c r="G62" s="1" t="s">
        <v>686</v>
      </c>
      <c r="O62" s="1" t="s">
        <v>310</v>
      </c>
      <c r="P62" s="1" t="s">
        <v>317</v>
      </c>
      <c r="R62" s="1" t="s">
        <v>351</v>
      </c>
      <c r="AU62" s="1" t="s">
        <v>1000</v>
      </c>
      <c r="AV62" s="1" t="s">
        <v>197</v>
      </c>
      <c r="AW62" s="208">
        <v>42.99</v>
      </c>
    </row>
    <row r="63" spans="7:49" x14ac:dyDescent="0.25">
      <c r="G63" s="1" t="s">
        <v>681</v>
      </c>
      <c r="O63" s="45" t="s">
        <v>652</v>
      </c>
      <c r="AU63" s="1" t="s">
        <v>199</v>
      </c>
      <c r="AV63" s="1" t="s">
        <v>198</v>
      </c>
      <c r="AW63" s="208">
        <v>45</v>
      </c>
    </row>
    <row r="64" spans="7:49" x14ac:dyDescent="0.25">
      <c r="G64" s="1" t="s">
        <v>616</v>
      </c>
      <c r="O64" s="1" t="s">
        <v>81</v>
      </c>
      <c r="P64" s="10" t="s">
        <v>654</v>
      </c>
      <c r="R64" s="10" t="s">
        <v>655</v>
      </c>
      <c r="S64" s="10"/>
      <c r="X64" s="10"/>
      <c r="AU64" s="1" t="s">
        <v>200</v>
      </c>
      <c r="AV64" s="1" t="s">
        <v>198</v>
      </c>
      <c r="AW64" s="208">
        <v>46</v>
      </c>
    </row>
    <row r="65" spans="7:49" x14ac:dyDescent="0.25">
      <c r="G65" s="1" t="s">
        <v>603</v>
      </c>
      <c r="O65" s="44"/>
      <c r="P65" s="1" t="s">
        <v>313</v>
      </c>
      <c r="R65" s="1" t="s">
        <v>350</v>
      </c>
      <c r="AU65" s="1" t="s">
        <v>201</v>
      </c>
      <c r="AV65" s="1" t="s">
        <v>198</v>
      </c>
      <c r="AW65" s="208">
        <v>47</v>
      </c>
    </row>
    <row r="66" spans="7:49" x14ac:dyDescent="0.25">
      <c r="G66" s="1" t="s">
        <v>608</v>
      </c>
      <c r="O66" s="45" t="s">
        <v>658</v>
      </c>
      <c r="P66" s="1" t="s">
        <v>311</v>
      </c>
      <c r="R66" s="1" t="s">
        <v>351</v>
      </c>
      <c r="AU66" s="1" t="s">
        <v>1001</v>
      </c>
      <c r="AV66" s="1" t="s">
        <v>202</v>
      </c>
      <c r="AW66" s="208" t="s">
        <v>203</v>
      </c>
    </row>
    <row r="67" spans="7:49" x14ac:dyDescent="0.25">
      <c r="G67" s="1" t="s">
        <v>676</v>
      </c>
      <c r="O67" s="44" t="s">
        <v>81</v>
      </c>
      <c r="P67" s="1" t="s">
        <v>312</v>
      </c>
      <c r="AU67" s="1" t="s">
        <v>1002</v>
      </c>
      <c r="AV67" s="1" t="s">
        <v>202</v>
      </c>
      <c r="AW67" s="208" t="s">
        <v>204</v>
      </c>
    </row>
    <row r="68" spans="7:49" x14ac:dyDescent="0.25">
      <c r="G68" s="1" t="s">
        <v>678</v>
      </c>
      <c r="AU68" s="1" t="s">
        <v>1003</v>
      </c>
      <c r="AV68" s="1" t="s">
        <v>202</v>
      </c>
      <c r="AW68" s="208">
        <v>50</v>
      </c>
    </row>
    <row r="69" spans="7:49" x14ac:dyDescent="0.25">
      <c r="G69" s="1" t="s">
        <v>650</v>
      </c>
      <c r="P69" s="10" t="s">
        <v>661</v>
      </c>
      <c r="AU69" s="1" t="s">
        <v>1004</v>
      </c>
      <c r="AV69" s="1" t="s">
        <v>202</v>
      </c>
      <c r="AW69" s="208">
        <v>51</v>
      </c>
    </row>
    <row r="70" spans="7:49" x14ac:dyDescent="0.25">
      <c r="G70" s="1" t="s">
        <v>610</v>
      </c>
      <c r="O70" s="10" t="s">
        <v>663</v>
      </c>
      <c r="P70" s="1" t="s">
        <v>320</v>
      </c>
      <c r="AU70" s="1" t="s">
        <v>205</v>
      </c>
      <c r="AV70" s="1" t="s">
        <v>202</v>
      </c>
      <c r="AW70" s="208">
        <v>52</v>
      </c>
    </row>
    <row r="71" spans="7:49" x14ac:dyDescent="0.25">
      <c r="G71" s="1" t="s">
        <v>799</v>
      </c>
      <c r="O71" s="1" t="s">
        <v>81</v>
      </c>
      <c r="P71" s="1" t="s">
        <v>321</v>
      </c>
      <c r="X71" s="10"/>
      <c r="AU71" s="1" t="s">
        <v>206</v>
      </c>
      <c r="AV71" s="1" t="s">
        <v>202</v>
      </c>
      <c r="AW71" s="208">
        <v>53</v>
      </c>
    </row>
    <row r="72" spans="7:49" x14ac:dyDescent="0.25">
      <c r="G72" s="1" t="s">
        <v>682</v>
      </c>
      <c r="O72" s="1" t="s">
        <v>113</v>
      </c>
      <c r="AU72" s="1" t="s">
        <v>208</v>
      </c>
      <c r="AV72" s="1" t="s">
        <v>207</v>
      </c>
      <c r="AW72" s="208">
        <v>55</v>
      </c>
    </row>
    <row r="73" spans="7:49" x14ac:dyDescent="0.25">
      <c r="G73" s="1" t="s">
        <v>651</v>
      </c>
      <c r="AU73" s="1" t="s">
        <v>209</v>
      </c>
      <c r="AV73" s="1" t="s">
        <v>207</v>
      </c>
      <c r="AW73" s="208">
        <v>56</v>
      </c>
    </row>
    <row r="74" spans="7:49" x14ac:dyDescent="0.25">
      <c r="G74" s="1" t="s">
        <v>687</v>
      </c>
      <c r="AU74" s="1" t="s">
        <v>211</v>
      </c>
      <c r="AV74" s="1" t="s">
        <v>210</v>
      </c>
      <c r="AW74" s="208">
        <v>58</v>
      </c>
    </row>
    <row r="75" spans="7:49" x14ac:dyDescent="0.25">
      <c r="G75" s="1" t="s">
        <v>657</v>
      </c>
      <c r="O75" s="45" t="s">
        <v>668</v>
      </c>
      <c r="P75" s="10" t="s">
        <v>669</v>
      </c>
      <c r="AU75" s="1" t="s">
        <v>1005</v>
      </c>
      <c r="AV75" s="1" t="s">
        <v>210</v>
      </c>
      <c r="AW75" s="208">
        <v>59</v>
      </c>
    </row>
    <row r="76" spans="7:49" x14ac:dyDescent="0.25">
      <c r="G76" s="1" t="s">
        <v>674</v>
      </c>
      <c r="O76" s="1" t="s">
        <v>308</v>
      </c>
      <c r="P76" s="1" t="s">
        <v>334</v>
      </c>
      <c r="X76" s="10"/>
      <c r="AU76" s="1" t="s">
        <v>1006</v>
      </c>
      <c r="AV76" s="1" t="s">
        <v>210</v>
      </c>
      <c r="AW76" s="208">
        <v>60</v>
      </c>
    </row>
    <row r="77" spans="7:49" x14ac:dyDescent="0.25">
      <c r="G77" s="1" t="s">
        <v>574</v>
      </c>
      <c r="O77" s="1" t="s">
        <v>310</v>
      </c>
      <c r="AU77" s="1" t="s">
        <v>212</v>
      </c>
      <c r="AV77" s="1" t="s">
        <v>210</v>
      </c>
      <c r="AW77" s="208">
        <v>61</v>
      </c>
    </row>
    <row r="78" spans="7:49" x14ac:dyDescent="0.25">
      <c r="G78" s="1" t="s">
        <v>620</v>
      </c>
      <c r="P78" s="10" t="s">
        <v>673</v>
      </c>
      <c r="AU78" s="1" t="s">
        <v>213</v>
      </c>
      <c r="AV78" s="1" t="s">
        <v>210</v>
      </c>
      <c r="AW78" s="208">
        <v>62</v>
      </c>
    </row>
    <row r="79" spans="7:49" x14ac:dyDescent="0.25">
      <c r="G79" s="1" t="s">
        <v>609</v>
      </c>
      <c r="O79" s="10" t="s">
        <v>690</v>
      </c>
      <c r="P79" s="1" t="s">
        <v>331</v>
      </c>
      <c r="AU79" s="1" t="s">
        <v>214</v>
      </c>
      <c r="AV79" s="1" t="s">
        <v>210</v>
      </c>
      <c r="AW79" s="208">
        <v>63</v>
      </c>
    </row>
    <row r="80" spans="7:49" x14ac:dyDescent="0.25">
      <c r="G80" s="1" t="s">
        <v>653</v>
      </c>
      <c r="O80" s="1" t="s">
        <v>81</v>
      </c>
      <c r="P80" s="1" t="s">
        <v>332</v>
      </c>
      <c r="AU80" s="1" t="s">
        <v>216</v>
      </c>
      <c r="AV80" s="1" t="s">
        <v>215</v>
      </c>
      <c r="AW80" s="208">
        <v>64</v>
      </c>
    </row>
    <row r="81" spans="7:49" x14ac:dyDescent="0.25">
      <c r="G81" s="1" t="s">
        <v>617</v>
      </c>
      <c r="O81" s="1" t="s">
        <v>113</v>
      </c>
      <c r="AU81" s="1" t="s">
        <v>1007</v>
      </c>
      <c r="AV81" s="1" t="s">
        <v>215</v>
      </c>
      <c r="AW81" s="208" t="s">
        <v>1013</v>
      </c>
    </row>
    <row r="82" spans="7:49" x14ac:dyDescent="0.25">
      <c r="G82" s="1" t="s">
        <v>683</v>
      </c>
      <c r="P82" s="10" t="s">
        <v>691</v>
      </c>
      <c r="X82" s="10"/>
      <c r="AU82" s="1" t="s">
        <v>217</v>
      </c>
      <c r="AV82" s="1" t="s">
        <v>215</v>
      </c>
      <c r="AW82" s="208">
        <v>66</v>
      </c>
    </row>
    <row r="83" spans="7:49" x14ac:dyDescent="0.25">
      <c r="G83" s="1" t="s">
        <v>611</v>
      </c>
      <c r="O83" s="10" t="s">
        <v>974</v>
      </c>
      <c r="P83" s="1" t="s">
        <v>386</v>
      </c>
      <c r="AU83" s="1" t="s">
        <v>219</v>
      </c>
      <c r="AV83" s="1" t="s">
        <v>218</v>
      </c>
      <c r="AW83" s="208">
        <v>68.12</v>
      </c>
    </row>
    <row r="84" spans="7:49" x14ac:dyDescent="0.25">
      <c r="G84" s="1" t="s">
        <v>671</v>
      </c>
      <c r="O84" s="1" t="s">
        <v>975</v>
      </c>
      <c r="AU84" s="1" t="s">
        <v>221</v>
      </c>
      <c r="AV84" s="1" t="s">
        <v>218</v>
      </c>
      <c r="AW84" s="208" t="s">
        <v>220</v>
      </c>
    </row>
    <row r="85" spans="7:49" x14ac:dyDescent="0.25">
      <c r="G85" s="1" t="s">
        <v>677</v>
      </c>
      <c r="O85" s="1" t="s">
        <v>970</v>
      </c>
      <c r="AU85" s="1" t="s">
        <v>222</v>
      </c>
      <c r="AV85" s="1" t="s">
        <v>218</v>
      </c>
      <c r="AW85" s="208">
        <v>68.3</v>
      </c>
    </row>
    <row r="86" spans="7:49" x14ac:dyDescent="0.25">
      <c r="G86" s="1" t="s">
        <v>528</v>
      </c>
      <c r="AU86" s="1" t="s">
        <v>224</v>
      </c>
      <c r="AV86" s="1" t="s">
        <v>223</v>
      </c>
      <c r="AW86" s="208">
        <v>69.099999999999994</v>
      </c>
    </row>
    <row r="87" spans="7:49" x14ac:dyDescent="0.25">
      <c r="G87" s="1" t="s">
        <v>640</v>
      </c>
      <c r="O87" s="10" t="s">
        <v>802</v>
      </c>
      <c r="P87" s="10" t="s">
        <v>976</v>
      </c>
      <c r="X87" s="10"/>
      <c r="AU87" s="1" t="s">
        <v>225</v>
      </c>
      <c r="AV87" s="1" t="s">
        <v>223</v>
      </c>
      <c r="AW87" s="208">
        <v>69.2</v>
      </c>
    </row>
    <row r="88" spans="7:49" x14ac:dyDescent="0.25">
      <c r="G88" s="1" t="s">
        <v>613</v>
      </c>
      <c r="O88" s="1" t="s">
        <v>803</v>
      </c>
      <c r="P88" s="1" t="s">
        <v>392</v>
      </c>
      <c r="AU88" s="1" t="s">
        <v>226</v>
      </c>
      <c r="AV88" s="1" t="s">
        <v>223</v>
      </c>
      <c r="AW88" s="208">
        <v>70</v>
      </c>
    </row>
    <row r="89" spans="7:49" x14ac:dyDescent="0.25">
      <c r="O89" s="1" t="s">
        <v>804</v>
      </c>
      <c r="AU89" s="1" t="s">
        <v>227</v>
      </c>
      <c r="AV89" s="1" t="s">
        <v>223</v>
      </c>
      <c r="AW89" s="208">
        <v>71</v>
      </c>
    </row>
    <row r="90" spans="7:49" x14ac:dyDescent="0.25">
      <c r="O90" s="1" t="s">
        <v>805</v>
      </c>
      <c r="AU90" s="1" t="s">
        <v>228</v>
      </c>
      <c r="AV90" s="1" t="s">
        <v>223</v>
      </c>
      <c r="AW90" s="208">
        <v>72</v>
      </c>
    </row>
    <row r="91" spans="7:49" x14ac:dyDescent="0.25">
      <c r="G91" s="10"/>
      <c r="O91" s="1" t="s">
        <v>806</v>
      </c>
      <c r="P91" s="10" t="s">
        <v>970</v>
      </c>
      <c r="AU91" s="1" t="s">
        <v>229</v>
      </c>
      <c r="AV91" s="1" t="s">
        <v>223</v>
      </c>
      <c r="AW91" s="208">
        <v>73</v>
      </c>
    </row>
    <row r="92" spans="7:49" x14ac:dyDescent="0.25">
      <c r="O92" s="1" t="s">
        <v>807</v>
      </c>
      <c r="P92" s="1" t="s">
        <v>969</v>
      </c>
      <c r="AU92" s="1" t="s">
        <v>230</v>
      </c>
      <c r="AV92" s="1" t="s">
        <v>223</v>
      </c>
      <c r="AW92" s="208">
        <v>74</v>
      </c>
    </row>
    <row r="93" spans="7:49" x14ac:dyDescent="0.25">
      <c r="O93" s="1" t="s">
        <v>808</v>
      </c>
      <c r="P93" s="1" t="s">
        <v>971</v>
      </c>
      <c r="X93" s="10"/>
      <c r="AU93" s="1" t="s">
        <v>231</v>
      </c>
      <c r="AV93" s="1" t="s">
        <v>223</v>
      </c>
      <c r="AW93" s="208">
        <v>75</v>
      </c>
    </row>
    <row r="94" spans="7:49" x14ac:dyDescent="0.25">
      <c r="O94" s="1" t="s">
        <v>809</v>
      </c>
      <c r="P94" s="1" t="s">
        <v>973</v>
      </c>
      <c r="AU94" s="1" t="s">
        <v>233</v>
      </c>
      <c r="AV94" s="1" t="s">
        <v>232</v>
      </c>
      <c r="AW94" s="208">
        <v>77</v>
      </c>
    </row>
    <row r="95" spans="7:49" x14ac:dyDescent="0.25">
      <c r="O95" s="1" t="s">
        <v>810</v>
      </c>
      <c r="P95" s="1" t="s">
        <v>972</v>
      </c>
      <c r="AU95" s="1" t="s">
        <v>234</v>
      </c>
      <c r="AV95" s="1" t="s">
        <v>232</v>
      </c>
      <c r="AW95" s="208">
        <v>78</v>
      </c>
    </row>
    <row r="96" spans="7:49" x14ac:dyDescent="0.25">
      <c r="G96" s="10"/>
      <c r="O96" s="1" t="s">
        <v>811</v>
      </c>
      <c r="AU96" s="1" t="s">
        <v>235</v>
      </c>
      <c r="AV96" s="1" t="s">
        <v>232</v>
      </c>
      <c r="AW96" s="208">
        <v>79</v>
      </c>
    </row>
    <row r="97" spans="15:49" x14ac:dyDescent="0.25">
      <c r="O97" s="1" t="s">
        <v>812</v>
      </c>
      <c r="P97" s="10" t="s">
        <v>977</v>
      </c>
      <c r="AU97" s="1" t="s">
        <v>236</v>
      </c>
      <c r="AV97" s="1" t="s">
        <v>232</v>
      </c>
      <c r="AW97" s="208">
        <v>80</v>
      </c>
    </row>
    <row r="98" spans="15:49" x14ac:dyDescent="0.25">
      <c r="O98" s="1" t="s">
        <v>813</v>
      </c>
      <c r="P98" s="1" t="s">
        <v>392</v>
      </c>
      <c r="AU98" s="1" t="s">
        <v>237</v>
      </c>
      <c r="AV98" s="1" t="s">
        <v>232</v>
      </c>
      <c r="AW98" s="208">
        <v>81</v>
      </c>
    </row>
    <row r="99" spans="15:49" x14ac:dyDescent="0.25">
      <c r="O99" s="1" t="s">
        <v>814</v>
      </c>
      <c r="X99" s="10"/>
      <c r="AU99" s="1" t="s">
        <v>238</v>
      </c>
      <c r="AV99" s="1" t="s">
        <v>232</v>
      </c>
      <c r="AW99" s="208">
        <v>82</v>
      </c>
    </row>
    <row r="100" spans="15:49" x14ac:dyDescent="0.25">
      <c r="O100" s="1" t="s">
        <v>815</v>
      </c>
      <c r="AU100" s="1" t="s">
        <v>240</v>
      </c>
      <c r="AV100" s="1" t="s">
        <v>239</v>
      </c>
      <c r="AW100" s="208">
        <v>84</v>
      </c>
    </row>
    <row r="101" spans="15:49" x14ac:dyDescent="0.25">
      <c r="O101" s="1" t="s">
        <v>816</v>
      </c>
      <c r="AU101" s="1" t="s">
        <v>242</v>
      </c>
      <c r="AV101" s="1" t="s">
        <v>241</v>
      </c>
      <c r="AW101" s="208">
        <v>85</v>
      </c>
    </row>
    <row r="102" spans="15:49" x14ac:dyDescent="0.25">
      <c r="O102" s="1" t="s">
        <v>817</v>
      </c>
      <c r="AU102" s="1" t="s">
        <v>244</v>
      </c>
      <c r="AV102" s="1" t="s">
        <v>243</v>
      </c>
      <c r="AW102" s="208">
        <v>86</v>
      </c>
    </row>
    <row r="103" spans="15:49" x14ac:dyDescent="0.25">
      <c r="O103" s="1" t="s">
        <v>818</v>
      </c>
      <c r="AU103" s="1" t="s">
        <v>1008</v>
      </c>
      <c r="AV103" s="1" t="s">
        <v>243</v>
      </c>
      <c r="AW103" s="208">
        <v>87</v>
      </c>
    </row>
    <row r="104" spans="15:49" x14ac:dyDescent="0.25">
      <c r="O104" s="1" t="s">
        <v>819</v>
      </c>
      <c r="AU104" s="1" t="s">
        <v>1009</v>
      </c>
      <c r="AV104" s="1" t="s">
        <v>243</v>
      </c>
      <c r="AW104" s="208">
        <v>88</v>
      </c>
    </row>
    <row r="105" spans="15:49" x14ac:dyDescent="0.25">
      <c r="O105" s="1" t="s">
        <v>820</v>
      </c>
      <c r="X105" s="10"/>
      <c r="AU105" s="1" t="s">
        <v>246</v>
      </c>
      <c r="AV105" s="1" t="s">
        <v>245</v>
      </c>
      <c r="AW105" s="208">
        <v>90</v>
      </c>
    </row>
    <row r="106" spans="15:49" x14ac:dyDescent="0.25">
      <c r="O106" s="1" t="s">
        <v>821</v>
      </c>
      <c r="AU106" s="1" t="s">
        <v>247</v>
      </c>
      <c r="AV106" s="1" t="s">
        <v>245</v>
      </c>
      <c r="AW106" s="208">
        <v>91</v>
      </c>
    </row>
    <row r="107" spans="15:49" x14ac:dyDescent="0.25">
      <c r="O107" s="1" t="s">
        <v>822</v>
      </c>
      <c r="AU107" s="1" t="s">
        <v>248</v>
      </c>
      <c r="AV107" s="1" t="s">
        <v>245</v>
      </c>
      <c r="AW107" s="208">
        <v>92</v>
      </c>
    </row>
    <row r="108" spans="15:49" x14ac:dyDescent="0.25">
      <c r="O108" s="1" t="s">
        <v>823</v>
      </c>
      <c r="AU108" s="1" t="s">
        <v>249</v>
      </c>
      <c r="AV108" s="1" t="s">
        <v>245</v>
      </c>
      <c r="AW108" s="208">
        <v>93</v>
      </c>
    </row>
    <row r="109" spans="15:49" x14ac:dyDescent="0.25">
      <c r="O109" s="1" t="s">
        <v>824</v>
      </c>
      <c r="AU109" s="1" t="s">
        <v>251</v>
      </c>
      <c r="AV109" s="1" t="s">
        <v>250</v>
      </c>
      <c r="AW109" s="208">
        <v>94</v>
      </c>
    </row>
    <row r="110" spans="15:49" x14ac:dyDescent="0.25">
      <c r="O110" s="1" t="s">
        <v>825</v>
      </c>
      <c r="AU110" s="1" t="s">
        <v>252</v>
      </c>
      <c r="AV110" s="1" t="s">
        <v>250</v>
      </c>
      <c r="AW110" s="208">
        <v>95</v>
      </c>
    </row>
    <row r="111" spans="15:49" x14ac:dyDescent="0.25">
      <c r="O111" s="1" t="s">
        <v>826</v>
      </c>
      <c r="AU111" s="1" t="s">
        <v>253</v>
      </c>
      <c r="AV111" s="1" t="s">
        <v>250</v>
      </c>
      <c r="AW111" s="208">
        <v>96</v>
      </c>
    </row>
    <row r="112" spans="15:49" x14ac:dyDescent="0.25">
      <c r="O112" s="1" t="s">
        <v>827</v>
      </c>
      <c r="AU112" s="1" t="s">
        <v>255</v>
      </c>
      <c r="AV112" s="1" t="s">
        <v>254</v>
      </c>
      <c r="AW112" s="208">
        <v>97</v>
      </c>
    </row>
    <row r="113" spans="15:15" x14ac:dyDescent="0.25">
      <c r="O113" s="1" t="s">
        <v>828</v>
      </c>
    </row>
    <row r="114" spans="15:15" x14ac:dyDescent="0.25">
      <c r="O114" s="1" t="s">
        <v>829</v>
      </c>
    </row>
    <row r="115" spans="15:15" x14ac:dyDescent="0.25">
      <c r="O115" s="1" t="s">
        <v>830</v>
      </c>
    </row>
    <row r="116" spans="15:15" x14ac:dyDescent="0.25">
      <c r="O116" s="1" t="s">
        <v>831</v>
      </c>
    </row>
    <row r="117" spans="15:15" x14ac:dyDescent="0.25">
      <c r="O117" s="1" t="s">
        <v>832</v>
      </c>
    </row>
    <row r="118" spans="15:15" x14ac:dyDescent="0.25">
      <c r="O118" s="1" t="s">
        <v>833</v>
      </c>
    </row>
    <row r="119" spans="15:15" x14ac:dyDescent="0.25">
      <c r="O119" s="1" t="s">
        <v>834</v>
      </c>
    </row>
    <row r="120" spans="15:15" x14ac:dyDescent="0.25">
      <c r="O120" s="1" t="s">
        <v>835</v>
      </c>
    </row>
    <row r="121" spans="15:15" x14ac:dyDescent="0.25">
      <c r="O121" s="1" t="s">
        <v>836</v>
      </c>
    </row>
    <row r="122" spans="15:15" x14ac:dyDescent="0.25">
      <c r="O122" s="1" t="s">
        <v>837</v>
      </c>
    </row>
    <row r="123" spans="15:15" x14ac:dyDescent="0.25">
      <c r="O123" s="1" t="s">
        <v>838</v>
      </c>
    </row>
    <row r="124" spans="15:15" x14ac:dyDescent="0.25">
      <c r="O124" s="1" t="s">
        <v>839</v>
      </c>
    </row>
    <row r="125" spans="15:15" x14ac:dyDescent="0.25">
      <c r="O125" s="1" t="s">
        <v>840</v>
      </c>
    </row>
    <row r="126" spans="15:15" x14ac:dyDescent="0.25">
      <c r="O126" s="1" t="s">
        <v>841</v>
      </c>
    </row>
    <row r="127" spans="15:15" x14ac:dyDescent="0.25">
      <c r="O127" s="1" t="s">
        <v>842</v>
      </c>
    </row>
    <row r="128" spans="15:15" x14ac:dyDescent="0.25">
      <c r="O128" s="1" t="s">
        <v>843</v>
      </c>
    </row>
    <row r="129" spans="15:15" x14ac:dyDescent="0.25">
      <c r="O129" s="1" t="s">
        <v>844</v>
      </c>
    </row>
    <row r="130" spans="15:15" x14ac:dyDescent="0.25">
      <c r="O130" s="1" t="s">
        <v>845</v>
      </c>
    </row>
    <row r="131" spans="15:15" x14ac:dyDescent="0.25">
      <c r="O131" s="1" t="s">
        <v>846</v>
      </c>
    </row>
    <row r="132" spans="15:15" x14ac:dyDescent="0.25">
      <c r="O132" s="1" t="s">
        <v>847</v>
      </c>
    </row>
    <row r="133" spans="15:15" x14ac:dyDescent="0.25">
      <c r="O133" s="1" t="s">
        <v>848</v>
      </c>
    </row>
    <row r="134" spans="15:15" x14ac:dyDescent="0.25">
      <c r="O134" s="1" t="s">
        <v>849</v>
      </c>
    </row>
    <row r="135" spans="15:15" x14ac:dyDescent="0.25">
      <c r="O135" s="1" t="s">
        <v>850</v>
      </c>
    </row>
    <row r="136" spans="15:15" x14ac:dyDescent="0.25">
      <c r="O136" s="1" t="s">
        <v>851</v>
      </c>
    </row>
    <row r="137" spans="15:15" x14ac:dyDescent="0.25">
      <c r="O137" s="1" t="s">
        <v>852</v>
      </c>
    </row>
    <row r="138" spans="15:15" x14ac:dyDescent="0.25">
      <c r="O138" s="1" t="s">
        <v>853</v>
      </c>
    </row>
    <row r="139" spans="15:15" x14ac:dyDescent="0.25">
      <c r="O139" s="1" t="s">
        <v>854</v>
      </c>
    </row>
    <row r="140" spans="15:15" x14ac:dyDescent="0.25">
      <c r="O140" s="1" t="s">
        <v>855</v>
      </c>
    </row>
    <row r="141" spans="15:15" x14ac:dyDescent="0.25">
      <c r="O141" s="1" t="s">
        <v>856</v>
      </c>
    </row>
    <row r="142" spans="15:15" x14ac:dyDescent="0.25">
      <c r="O142" s="1" t="s">
        <v>857</v>
      </c>
    </row>
    <row r="143" spans="15:15" x14ac:dyDescent="0.25">
      <c r="O143" s="1" t="s">
        <v>858</v>
      </c>
    </row>
    <row r="144" spans="15:15" x14ac:dyDescent="0.25">
      <c r="O144" s="1" t="s">
        <v>859</v>
      </c>
    </row>
    <row r="145" spans="15:15" x14ac:dyDescent="0.25">
      <c r="O145" s="1" t="s">
        <v>860</v>
      </c>
    </row>
    <row r="146" spans="15:15" x14ac:dyDescent="0.25">
      <c r="O146" s="1" t="s">
        <v>861</v>
      </c>
    </row>
    <row r="147" spans="15:15" x14ac:dyDescent="0.25">
      <c r="O147" s="1" t="s">
        <v>862</v>
      </c>
    </row>
    <row r="148" spans="15:15" x14ac:dyDescent="0.25">
      <c r="O148" s="1" t="s">
        <v>863</v>
      </c>
    </row>
    <row r="149" spans="15:15" x14ac:dyDescent="0.25">
      <c r="O149" s="1" t="s">
        <v>864</v>
      </c>
    </row>
    <row r="150" spans="15:15" x14ac:dyDescent="0.25">
      <c r="O150" s="1" t="s">
        <v>865</v>
      </c>
    </row>
    <row r="151" spans="15:15" x14ac:dyDescent="0.25">
      <c r="O151" s="1" t="s">
        <v>866</v>
      </c>
    </row>
    <row r="152" spans="15:15" x14ac:dyDescent="0.25">
      <c r="O152" s="1" t="s">
        <v>867</v>
      </c>
    </row>
    <row r="153" spans="15:15" x14ac:dyDescent="0.25">
      <c r="O153" s="1" t="s">
        <v>868</v>
      </c>
    </row>
    <row r="154" spans="15:15" x14ac:dyDescent="0.25">
      <c r="O154" s="1" t="s">
        <v>869</v>
      </c>
    </row>
    <row r="155" spans="15:15" x14ac:dyDescent="0.25">
      <c r="O155" s="1" t="s">
        <v>870</v>
      </c>
    </row>
    <row r="156" spans="15:15" x14ac:dyDescent="0.25">
      <c r="O156" s="1" t="s">
        <v>871</v>
      </c>
    </row>
    <row r="157" spans="15:15" x14ac:dyDescent="0.25">
      <c r="O157" s="1" t="s">
        <v>872</v>
      </c>
    </row>
    <row r="158" spans="15:15" x14ac:dyDescent="0.25">
      <c r="O158" s="1" t="s">
        <v>873</v>
      </c>
    </row>
    <row r="159" spans="15:15" x14ac:dyDescent="0.25">
      <c r="O159" s="1" t="s">
        <v>874</v>
      </c>
    </row>
    <row r="160" spans="15:15" x14ac:dyDescent="0.25">
      <c r="O160" s="1" t="s">
        <v>875</v>
      </c>
    </row>
    <row r="161" spans="15:15" x14ac:dyDescent="0.25">
      <c r="O161" s="1" t="s">
        <v>876</v>
      </c>
    </row>
    <row r="162" spans="15:15" x14ac:dyDescent="0.25">
      <c r="O162" s="1" t="s">
        <v>877</v>
      </c>
    </row>
    <row r="163" spans="15:15" x14ac:dyDescent="0.25">
      <c r="O163" s="1" t="s">
        <v>878</v>
      </c>
    </row>
    <row r="164" spans="15:15" x14ac:dyDescent="0.25">
      <c r="O164" s="1" t="s">
        <v>879</v>
      </c>
    </row>
    <row r="165" spans="15:15" x14ac:dyDescent="0.25">
      <c r="O165" s="1" t="s">
        <v>880</v>
      </c>
    </row>
    <row r="166" spans="15:15" x14ac:dyDescent="0.25">
      <c r="O166" s="1" t="s">
        <v>881</v>
      </c>
    </row>
    <row r="167" spans="15:15" x14ac:dyDescent="0.25">
      <c r="O167" s="1" t="s">
        <v>882</v>
      </c>
    </row>
    <row r="168" spans="15:15" x14ac:dyDescent="0.25">
      <c r="O168" s="1" t="s">
        <v>883</v>
      </c>
    </row>
    <row r="169" spans="15:15" x14ac:dyDescent="0.25">
      <c r="O169" s="1" t="s">
        <v>884</v>
      </c>
    </row>
    <row r="170" spans="15:15" x14ac:dyDescent="0.25">
      <c r="O170" s="1" t="s">
        <v>885</v>
      </c>
    </row>
    <row r="171" spans="15:15" x14ac:dyDescent="0.25">
      <c r="O171" s="1" t="s">
        <v>886</v>
      </c>
    </row>
    <row r="172" spans="15:15" x14ac:dyDescent="0.25">
      <c r="O172" s="1" t="s">
        <v>887</v>
      </c>
    </row>
    <row r="173" spans="15:15" x14ac:dyDescent="0.25">
      <c r="O173" s="1" t="s">
        <v>888</v>
      </c>
    </row>
    <row r="174" spans="15:15" x14ac:dyDescent="0.25">
      <c r="O174" s="1" t="s">
        <v>889</v>
      </c>
    </row>
    <row r="175" spans="15:15" x14ac:dyDescent="0.25">
      <c r="O175" s="1" t="s">
        <v>890</v>
      </c>
    </row>
    <row r="176" spans="15:15" x14ac:dyDescent="0.25">
      <c r="O176" s="1" t="s">
        <v>891</v>
      </c>
    </row>
    <row r="177" spans="15:15" x14ac:dyDescent="0.25">
      <c r="O177" s="1" t="s">
        <v>892</v>
      </c>
    </row>
    <row r="178" spans="15:15" x14ac:dyDescent="0.25">
      <c r="O178" s="1" t="s">
        <v>893</v>
      </c>
    </row>
    <row r="179" spans="15:15" x14ac:dyDescent="0.25">
      <c r="O179" s="1" t="s">
        <v>894</v>
      </c>
    </row>
    <row r="180" spans="15:15" x14ac:dyDescent="0.25">
      <c r="O180" s="1" t="s">
        <v>895</v>
      </c>
    </row>
    <row r="181" spans="15:15" x14ac:dyDescent="0.25">
      <c r="O181" s="1" t="s">
        <v>896</v>
      </c>
    </row>
    <row r="182" spans="15:15" x14ac:dyDescent="0.25">
      <c r="O182" s="1" t="s">
        <v>897</v>
      </c>
    </row>
    <row r="183" spans="15:15" x14ac:dyDescent="0.25">
      <c r="O183" s="1" t="s">
        <v>898</v>
      </c>
    </row>
    <row r="184" spans="15:15" x14ac:dyDescent="0.25">
      <c r="O184" s="1" t="s">
        <v>899</v>
      </c>
    </row>
    <row r="185" spans="15:15" x14ac:dyDescent="0.25">
      <c r="O185" s="1" t="s">
        <v>900</v>
      </c>
    </row>
    <row r="186" spans="15:15" x14ac:dyDescent="0.25">
      <c r="O186" s="1" t="s">
        <v>901</v>
      </c>
    </row>
    <row r="187" spans="15:15" x14ac:dyDescent="0.25">
      <c r="O187" s="1" t="s">
        <v>902</v>
      </c>
    </row>
    <row r="188" spans="15:15" x14ac:dyDescent="0.25">
      <c r="O188" s="1" t="s">
        <v>903</v>
      </c>
    </row>
    <row r="189" spans="15:15" x14ac:dyDescent="0.25">
      <c r="O189" s="1" t="s">
        <v>904</v>
      </c>
    </row>
    <row r="190" spans="15:15" x14ac:dyDescent="0.25">
      <c r="O190" s="1" t="s">
        <v>905</v>
      </c>
    </row>
    <row r="191" spans="15:15" x14ac:dyDescent="0.25">
      <c r="O191" s="1" t="s">
        <v>906</v>
      </c>
    </row>
    <row r="192" spans="15:15" x14ac:dyDescent="0.25">
      <c r="O192" s="1" t="s">
        <v>907</v>
      </c>
    </row>
    <row r="193" spans="15:15" x14ac:dyDescent="0.25">
      <c r="O193" s="1" t="s">
        <v>908</v>
      </c>
    </row>
    <row r="194" spans="15:15" x14ac:dyDescent="0.25">
      <c r="O194" s="1" t="s">
        <v>909</v>
      </c>
    </row>
    <row r="195" spans="15:15" x14ac:dyDescent="0.25">
      <c r="O195" s="1" t="s">
        <v>910</v>
      </c>
    </row>
    <row r="196" spans="15:15" x14ac:dyDescent="0.25">
      <c r="O196" s="1" t="s">
        <v>911</v>
      </c>
    </row>
    <row r="197" spans="15:15" x14ac:dyDescent="0.25">
      <c r="O197" s="1" t="s">
        <v>912</v>
      </c>
    </row>
    <row r="198" spans="15:15" x14ac:dyDescent="0.25">
      <c r="O198" s="1" t="s">
        <v>913</v>
      </c>
    </row>
    <row r="199" spans="15:15" x14ac:dyDescent="0.25">
      <c r="O199" s="1" t="s">
        <v>914</v>
      </c>
    </row>
    <row r="200" spans="15:15" x14ac:dyDescent="0.25">
      <c r="O200" s="1" t="s">
        <v>915</v>
      </c>
    </row>
    <row r="201" spans="15:15" x14ac:dyDescent="0.25">
      <c r="O201" s="1" t="s">
        <v>916</v>
      </c>
    </row>
    <row r="202" spans="15:15" x14ac:dyDescent="0.25">
      <c r="O202" s="1" t="s">
        <v>917</v>
      </c>
    </row>
    <row r="203" spans="15:15" x14ac:dyDescent="0.25">
      <c r="O203" s="1" t="s">
        <v>918</v>
      </c>
    </row>
    <row r="204" spans="15:15" x14ac:dyDescent="0.25">
      <c r="O204" s="1" t="s">
        <v>919</v>
      </c>
    </row>
    <row r="205" spans="15:15" x14ac:dyDescent="0.25">
      <c r="O205" s="1" t="s">
        <v>920</v>
      </c>
    </row>
    <row r="206" spans="15:15" x14ac:dyDescent="0.25">
      <c r="O206" s="1" t="s">
        <v>921</v>
      </c>
    </row>
    <row r="207" spans="15:15" x14ac:dyDescent="0.25">
      <c r="O207" s="1" t="s">
        <v>922</v>
      </c>
    </row>
    <row r="208" spans="15:15" x14ac:dyDescent="0.25">
      <c r="O208" s="1" t="s">
        <v>923</v>
      </c>
    </row>
    <row r="209" spans="15:15" x14ac:dyDescent="0.25">
      <c r="O209" s="1" t="s">
        <v>924</v>
      </c>
    </row>
    <row r="210" spans="15:15" x14ac:dyDescent="0.25">
      <c r="O210" s="1" t="s">
        <v>925</v>
      </c>
    </row>
    <row r="211" spans="15:15" x14ac:dyDescent="0.25">
      <c r="O211" s="1" t="s">
        <v>926</v>
      </c>
    </row>
    <row r="212" spans="15:15" x14ac:dyDescent="0.25">
      <c r="O212" s="1" t="s">
        <v>927</v>
      </c>
    </row>
    <row r="213" spans="15:15" x14ac:dyDescent="0.25">
      <c r="O213" s="1" t="s">
        <v>928</v>
      </c>
    </row>
    <row r="214" spans="15:15" x14ac:dyDescent="0.25">
      <c r="O214" s="1" t="s">
        <v>929</v>
      </c>
    </row>
    <row r="215" spans="15:15" x14ac:dyDescent="0.25">
      <c r="O215" s="1" t="s">
        <v>930</v>
      </c>
    </row>
    <row r="216" spans="15:15" x14ac:dyDescent="0.25">
      <c r="O216" s="1" t="s">
        <v>931</v>
      </c>
    </row>
    <row r="217" spans="15:15" x14ac:dyDescent="0.25">
      <c r="O217" s="1" t="s">
        <v>932</v>
      </c>
    </row>
    <row r="218" spans="15:15" x14ac:dyDescent="0.25">
      <c r="O218" s="1" t="s">
        <v>933</v>
      </c>
    </row>
    <row r="219" spans="15:15" x14ac:dyDescent="0.25">
      <c r="O219" s="1" t="s">
        <v>934</v>
      </c>
    </row>
    <row r="220" spans="15:15" x14ac:dyDescent="0.25">
      <c r="O220" s="1" t="s">
        <v>935</v>
      </c>
    </row>
    <row r="221" spans="15:15" x14ac:dyDescent="0.25">
      <c r="O221" s="1" t="s">
        <v>936</v>
      </c>
    </row>
    <row r="222" spans="15:15" x14ac:dyDescent="0.25">
      <c r="O222" s="1" t="s">
        <v>937</v>
      </c>
    </row>
    <row r="223" spans="15:15" x14ac:dyDescent="0.25">
      <c r="O223" s="1" t="s">
        <v>938</v>
      </c>
    </row>
    <row r="224" spans="15:15" x14ac:dyDescent="0.25">
      <c r="O224" s="1" t="s">
        <v>939</v>
      </c>
    </row>
    <row r="225" spans="15:15" x14ac:dyDescent="0.25">
      <c r="O225" s="1" t="s">
        <v>940</v>
      </c>
    </row>
    <row r="226" spans="15:15" x14ac:dyDescent="0.25">
      <c r="O226" s="1" t="s">
        <v>941</v>
      </c>
    </row>
    <row r="227" spans="15:15" x14ac:dyDescent="0.25">
      <c r="O227" s="1" t="s">
        <v>942</v>
      </c>
    </row>
    <row r="228" spans="15:15" x14ac:dyDescent="0.25">
      <c r="O228" s="1" t="s">
        <v>943</v>
      </c>
    </row>
    <row r="229" spans="15:15" x14ac:dyDescent="0.25">
      <c r="O229" s="1" t="s">
        <v>944</v>
      </c>
    </row>
    <row r="230" spans="15:15" x14ac:dyDescent="0.25">
      <c r="O230" s="1" t="s">
        <v>945</v>
      </c>
    </row>
    <row r="231" spans="15:15" x14ac:dyDescent="0.25">
      <c r="O231" s="1" t="s">
        <v>946</v>
      </c>
    </row>
    <row r="232" spans="15:15" x14ac:dyDescent="0.25">
      <c r="O232" s="1" t="s">
        <v>947</v>
      </c>
    </row>
    <row r="233" spans="15:15" x14ac:dyDescent="0.25">
      <c r="O233" s="1" t="s">
        <v>948</v>
      </c>
    </row>
    <row r="234" spans="15:15" x14ac:dyDescent="0.25">
      <c r="O234" s="1" t="s">
        <v>949</v>
      </c>
    </row>
    <row r="235" spans="15:15" x14ac:dyDescent="0.25">
      <c r="O235" s="1" t="s">
        <v>950</v>
      </c>
    </row>
    <row r="236" spans="15:15" x14ac:dyDescent="0.25">
      <c r="O236" s="1" t="s">
        <v>951</v>
      </c>
    </row>
    <row r="237" spans="15:15" x14ac:dyDescent="0.25">
      <c r="O237" s="1" t="s">
        <v>952</v>
      </c>
    </row>
    <row r="238" spans="15:15" x14ac:dyDescent="0.25">
      <c r="O238" s="1" t="s">
        <v>953</v>
      </c>
    </row>
    <row r="239" spans="15:15" x14ac:dyDescent="0.25">
      <c r="O239" s="1" t="s">
        <v>954</v>
      </c>
    </row>
    <row r="240" spans="15:15" x14ac:dyDescent="0.25">
      <c r="O240" s="1" t="s">
        <v>955</v>
      </c>
    </row>
    <row r="241" spans="15:15" x14ac:dyDescent="0.25">
      <c r="O241" s="1" t="s">
        <v>956</v>
      </c>
    </row>
    <row r="242" spans="15:15" x14ac:dyDescent="0.25">
      <c r="O242" s="1" t="s">
        <v>957</v>
      </c>
    </row>
    <row r="243" spans="15:15" x14ac:dyDescent="0.25">
      <c r="O243" s="1" t="s">
        <v>958</v>
      </c>
    </row>
    <row r="244" spans="15:15" x14ac:dyDescent="0.25">
      <c r="O244" s="1" t="s">
        <v>959</v>
      </c>
    </row>
    <row r="245" spans="15:15" x14ac:dyDescent="0.25">
      <c r="O245" s="1" t="s">
        <v>960</v>
      </c>
    </row>
    <row r="246" spans="15:15" x14ac:dyDescent="0.25">
      <c r="O246" s="1" t="s">
        <v>961</v>
      </c>
    </row>
    <row r="247" spans="15:15" x14ac:dyDescent="0.25">
      <c r="O247" s="1" t="s">
        <v>962</v>
      </c>
    </row>
    <row r="248" spans="15:15" x14ac:dyDescent="0.25">
      <c r="O248" s="1" t="s">
        <v>963</v>
      </c>
    </row>
  </sheetData>
  <sortState xmlns:xlrd2="http://schemas.microsoft.com/office/spreadsheetml/2017/richdata2" ref="U24:U55">
    <sortCondition ref="U24:U55"/>
  </sortState>
  <mergeCells count="2">
    <mergeCell ref="B2:D2"/>
    <mergeCell ref="G2:J2"/>
  </mergeCells>
  <dataValidations count="1">
    <dataValidation type="list" allowBlank="1" showInputMessage="1" showErrorMessage="1" sqref="AZ30:AZ31" xr:uid="{00000000-0002-0000-0900-000000000000}">
      <formula1>INDIRECT(SUBSTITUTE($B$73," ",""))</formula1>
    </dataValidation>
  </dataValidation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9" tint="-0.249977111117893"/>
  </sheetPr>
  <dimension ref="A2:M97"/>
  <sheetViews>
    <sheetView workbookViewId="0">
      <selection activeCell="B5" sqref="B5"/>
    </sheetView>
  </sheetViews>
  <sheetFormatPr defaultColWidth="8.5703125" defaultRowHeight="15" x14ac:dyDescent="0.25"/>
  <cols>
    <col min="1" max="1" width="2.5703125" style="1" customWidth="1"/>
    <col min="2" max="2" width="55.140625" style="1" customWidth="1"/>
    <col min="3" max="8" width="14.85546875" style="1" customWidth="1"/>
    <col min="9" max="9" width="14.5703125" style="1" customWidth="1"/>
    <col min="10" max="10" width="27.140625" style="1" customWidth="1"/>
    <col min="11" max="11" width="8.5703125" style="1" customWidth="1"/>
    <col min="12" max="12" width="35.85546875" style="1" customWidth="1"/>
    <col min="13" max="13" width="26.5703125" style="1" customWidth="1"/>
    <col min="14" max="14" width="8.5703125" style="1" customWidth="1"/>
    <col min="15" max="16384" width="8.5703125" style="1"/>
  </cols>
  <sheetData>
    <row r="2" spans="1:10" ht="19.5" thickBot="1" x14ac:dyDescent="0.35">
      <c r="B2" s="39" t="s">
        <v>10</v>
      </c>
      <c r="F2" s="13"/>
    </row>
    <row r="3" spans="1:10" ht="35.25" customHeight="1" x14ac:dyDescent="0.25">
      <c r="B3" s="313" t="s">
        <v>1040</v>
      </c>
      <c r="C3" s="314"/>
      <c r="D3" s="314"/>
      <c r="E3" s="314"/>
      <c r="F3" s="314"/>
      <c r="G3" s="314"/>
      <c r="H3" s="314"/>
      <c r="I3" s="315"/>
    </row>
    <row r="4" spans="1:10" x14ac:dyDescent="0.25">
      <c r="B4" s="87" t="s">
        <v>1035</v>
      </c>
      <c r="C4" s="7"/>
      <c r="D4" s="7"/>
      <c r="E4" s="47"/>
      <c r="F4" s="7"/>
      <c r="G4" s="7"/>
      <c r="H4" s="7"/>
      <c r="I4" s="7"/>
    </row>
    <row r="5" spans="1:10" x14ac:dyDescent="0.25">
      <c r="A5" s="54"/>
      <c r="B5" s="235"/>
      <c r="C5" s="54"/>
      <c r="D5" s="54"/>
      <c r="E5" s="54"/>
      <c r="F5" s="54"/>
      <c r="G5" s="54"/>
      <c r="H5" s="54"/>
      <c r="I5" s="54"/>
      <c r="J5" s="54"/>
    </row>
    <row r="6" spans="1:10" ht="15.75" thickBot="1" x14ac:dyDescent="0.3">
      <c r="A6" s="203"/>
      <c r="B6" s="63"/>
      <c r="C6" s="250" t="s">
        <v>12</v>
      </c>
      <c r="D6" s="251"/>
      <c r="E6" s="251"/>
      <c r="F6" s="251"/>
      <c r="G6" s="258"/>
      <c r="H6" s="253"/>
      <c r="I6" s="258"/>
      <c r="J6" s="54"/>
    </row>
    <row r="7" spans="1:10" ht="19.5" thickBot="1" x14ac:dyDescent="0.3">
      <c r="B7" s="31" t="s">
        <v>39</v>
      </c>
      <c r="C7" s="16" t="s">
        <v>14</v>
      </c>
      <c r="D7" s="16" t="s">
        <v>15</v>
      </c>
      <c r="E7" s="16" t="s">
        <v>15</v>
      </c>
      <c r="F7" s="16" t="s">
        <v>16</v>
      </c>
      <c r="G7" s="68"/>
      <c r="J7" s="54"/>
    </row>
    <row r="8" spans="1:10" ht="15.75" thickBot="1" x14ac:dyDescent="0.3">
      <c r="A8" s="204"/>
      <c r="B8" s="63"/>
      <c r="C8" s="16" t="s">
        <v>18</v>
      </c>
      <c r="D8" s="16" t="s">
        <v>19</v>
      </c>
      <c r="E8" s="16" t="s">
        <v>20</v>
      </c>
      <c r="F8" s="16"/>
      <c r="G8" s="68"/>
      <c r="J8" s="54"/>
    </row>
    <row r="9" spans="1:10" ht="15.75" thickBot="1" x14ac:dyDescent="0.3">
      <c r="A9" s="26"/>
      <c r="B9" s="18" t="s">
        <v>1034</v>
      </c>
      <c r="C9" s="12">
        <f>C17+C24+C30+C56</f>
        <v>0</v>
      </c>
      <c r="D9" s="12">
        <f>D17+D24+D30+D56</f>
        <v>0</v>
      </c>
      <c r="E9" s="12">
        <f>E17+E24+E30+E56</f>
        <v>0</v>
      </c>
      <c r="F9" s="284">
        <f>F17+F24+F30+F56</f>
        <v>0</v>
      </c>
      <c r="G9" s="68"/>
    </row>
    <row r="10" spans="1:10" x14ac:dyDescent="0.25">
      <c r="A10" s="26"/>
      <c r="B10" s="63"/>
      <c r="C10" s="63"/>
      <c r="D10" s="63"/>
      <c r="E10" s="63"/>
      <c r="F10" s="261"/>
      <c r="G10" s="63"/>
      <c r="H10" s="254"/>
      <c r="I10" s="255"/>
      <c r="J10" s="63"/>
    </row>
    <row r="11" spans="1:10" x14ac:dyDescent="0.25">
      <c r="A11" s="26"/>
      <c r="B11" s="63"/>
      <c r="C11" s="63"/>
      <c r="D11" s="63"/>
      <c r="E11" s="80"/>
      <c r="F11" s="63"/>
      <c r="G11" s="63"/>
      <c r="H11" s="254"/>
      <c r="I11" s="255"/>
      <c r="J11" s="54"/>
    </row>
    <row r="12" spans="1:10" ht="18.95" customHeight="1" thickBot="1" x14ac:dyDescent="0.3">
      <c r="B12" s="31" t="s">
        <v>11</v>
      </c>
      <c r="C12" s="250" t="s">
        <v>12</v>
      </c>
      <c r="D12" s="251"/>
      <c r="E12" s="251"/>
      <c r="F12" s="251"/>
      <c r="G12" s="259"/>
      <c r="H12" s="257"/>
      <c r="I12" s="256"/>
      <c r="J12" s="54"/>
    </row>
    <row r="13" spans="1:10" ht="29.45" customHeight="1" thickBot="1" x14ac:dyDescent="0.3">
      <c r="B13" s="3" t="s">
        <v>13</v>
      </c>
      <c r="C13" s="16" t="s">
        <v>14</v>
      </c>
      <c r="D13" s="16" t="s">
        <v>15</v>
      </c>
      <c r="E13" s="16" t="s">
        <v>15</v>
      </c>
      <c r="F13" s="16" t="s">
        <v>16</v>
      </c>
      <c r="H13" s="27"/>
      <c r="I13" s="27"/>
    </row>
    <row r="14" spans="1:10" ht="15.75" thickBot="1" x14ac:dyDescent="0.3">
      <c r="B14" s="3"/>
      <c r="C14" s="16" t="s">
        <v>18</v>
      </c>
      <c r="D14" s="16" t="s">
        <v>19</v>
      </c>
      <c r="E14" s="16" t="s">
        <v>20</v>
      </c>
      <c r="F14" s="16"/>
    </row>
    <row r="15" spans="1:10" ht="15.75" thickBot="1" x14ac:dyDescent="0.3">
      <c r="B15" s="18" t="str">
        <f>'Buildings, Fleet &amp; Equipment'!B6</f>
        <v>Buildings</v>
      </c>
      <c r="C15" s="12">
        <f>SUM(BuildingsTable[Direct])</f>
        <v>0</v>
      </c>
      <c r="D15" s="12">
        <f>SUM(BuildingsTable[Indirect generation])</f>
        <v>0</v>
      </c>
      <c r="E15" s="12">
        <f>SUM(BuildingsTable[[Indirect service]:[Indirect WTT]])</f>
        <v>0</v>
      </c>
      <c r="F15" s="281">
        <f>SUM(C15:E15)</f>
        <v>0</v>
      </c>
      <c r="H15" s="13"/>
    </row>
    <row r="16" spans="1:10" ht="15.75" thickBot="1" x14ac:dyDescent="0.3">
      <c r="B16" s="266" t="s">
        <v>1020</v>
      </c>
      <c r="C16" s="244">
        <f>SUM(FleetTableFuel[Direct],FleetTableDistance[Direct])</f>
        <v>0</v>
      </c>
      <c r="D16" s="244">
        <f>SUM(FleetTableFuel[Indirect generation],FleetTableDistance[Indirect generation])</f>
        <v>0</v>
      </c>
      <c r="E16" s="244">
        <f>SUM(FleetTableFuel[[Indirect service]:[Indirect WTT]], FleetTableDistance[[Indirect service]:[Indirect WTT]])</f>
        <v>0</v>
      </c>
      <c r="F16" s="282">
        <f>SUM(C16:E16)</f>
        <v>0</v>
      </c>
    </row>
    <row r="17" spans="2:9" x14ac:dyDescent="0.25">
      <c r="B17" s="228" t="s">
        <v>1022</v>
      </c>
      <c r="C17" s="222">
        <f>SUM(C15:C16)</f>
        <v>0</v>
      </c>
      <c r="D17" s="222">
        <f>SUM(D15:D16)</f>
        <v>0</v>
      </c>
      <c r="E17" s="222">
        <f>SUM(E15:E16)</f>
        <v>0</v>
      </c>
      <c r="F17" s="222">
        <f>SUM(F15:F16)</f>
        <v>0</v>
      </c>
    </row>
    <row r="19" spans="2:9" ht="19.5" thickBot="1" x14ac:dyDescent="0.3">
      <c r="B19" s="31" t="s">
        <v>21</v>
      </c>
      <c r="C19" s="245" t="s">
        <v>12</v>
      </c>
      <c r="D19" s="246"/>
      <c r="E19" s="246"/>
      <c r="F19" s="246"/>
      <c r="G19" s="258"/>
      <c r="H19" s="258"/>
      <c r="I19" s="258"/>
    </row>
    <row r="20" spans="2:9" ht="29.45" customHeight="1" thickBot="1" x14ac:dyDescent="0.3">
      <c r="B20" s="3" t="s">
        <v>13</v>
      </c>
      <c r="C20" s="16" t="s">
        <v>14</v>
      </c>
      <c r="D20" s="16" t="s">
        <v>15</v>
      </c>
      <c r="E20" s="16" t="s">
        <v>15</v>
      </c>
      <c r="F20" s="16" t="s">
        <v>16</v>
      </c>
    </row>
    <row r="21" spans="2:9" ht="15.75" thickBot="1" x14ac:dyDescent="0.3">
      <c r="B21" s="3"/>
      <c r="C21" s="16" t="s">
        <v>18</v>
      </c>
      <c r="D21" s="16" t="s">
        <v>19</v>
      </c>
      <c r="E21" s="16" t="s">
        <v>20</v>
      </c>
      <c r="F21" s="16"/>
    </row>
    <row r="22" spans="2:9" ht="15.75" thickBot="1" x14ac:dyDescent="0.3">
      <c r="B22" s="18" t="s">
        <v>1031</v>
      </c>
      <c r="C22" s="12">
        <f>SUM(BusinessTable[Direct])</f>
        <v>0</v>
      </c>
      <c r="D22" s="12">
        <f>SUM(BusinessTable[Indirect generation])</f>
        <v>0</v>
      </c>
      <c r="E22" s="12">
        <f>SUM(BusinessTable[[Indirect service]:[Indirect WTT]])</f>
        <v>0</v>
      </c>
      <c r="F22" s="281">
        <f>SUM(C22:E22)</f>
        <v>0</v>
      </c>
    </row>
    <row r="23" spans="2:9" ht="15.75" thickBot="1" x14ac:dyDescent="0.3">
      <c r="B23" s="18" t="s">
        <v>1050</v>
      </c>
      <c r="C23" s="12">
        <f>SUM(CommutingTable[Direct])</f>
        <v>0</v>
      </c>
      <c r="D23" s="12">
        <f>SUM(CommutingTable[Indirect generation])</f>
        <v>0</v>
      </c>
      <c r="E23" s="12">
        <f>SUM(CommutingTable[[Indirect service]:[Indirect WTT]])</f>
        <v>0</v>
      </c>
      <c r="F23" s="281">
        <f>SUM(C23:E23)</f>
        <v>0</v>
      </c>
    </row>
    <row r="24" spans="2:9" ht="15.75" thickBot="1" x14ac:dyDescent="0.3">
      <c r="B24" s="20" t="s">
        <v>1051</v>
      </c>
      <c r="C24" s="21">
        <f>SUM(C22:C23)</f>
        <v>0</v>
      </c>
      <c r="D24" s="21">
        <f>SUM(D22:D23)</f>
        <v>0</v>
      </c>
      <c r="E24" s="21">
        <f>SUM(E22:E23)</f>
        <v>0</v>
      </c>
      <c r="F24" s="176">
        <f>SUM(F22:F23)</f>
        <v>0</v>
      </c>
    </row>
    <row r="26" spans="2:9" ht="18" customHeight="1" thickBot="1" x14ac:dyDescent="0.3">
      <c r="B26" s="31" t="s">
        <v>25</v>
      </c>
      <c r="C26" s="245" t="s">
        <v>12</v>
      </c>
      <c r="D26" s="246"/>
      <c r="E26" s="246"/>
      <c r="F26" s="246"/>
      <c r="G26" s="258"/>
      <c r="H26" s="258"/>
      <c r="I26" s="252"/>
    </row>
    <row r="27" spans="2:9" ht="29.45" customHeight="1" thickBot="1" x14ac:dyDescent="0.3">
      <c r="B27" s="3" t="s">
        <v>13</v>
      </c>
      <c r="C27" s="16" t="s">
        <v>14</v>
      </c>
      <c r="D27" s="16" t="s">
        <v>15</v>
      </c>
      <c r="E27" s="16" t="s">
        <v>15</v>
      </c>
      <c r="F27" s="16" t="s">
        <v>16</v>
      </c>
      <c r="H27" s="7"/>
    </row>
    <row r="28" spans="2:9" ht="15.75" thickBot="1" x14ac:dyDescent="0.3">
      <c r="B28" s="3"/>
      <c r="C28" s="16" t="s">
        <v>18</v>
      </c>
      <c r="D28" s="16" t="s">
        <v>19</v>
      </c>
      <c r="E28" s="16" t="s">
        <v>20</v>
      </c>
      <c r="F28" s="16"/>
      <c r="G28" s="26"/>
    </row>
    <row r="29" spans="2:9" ht="15.75" thickBot="1" x14ac:dyDescent="0.3">
      <c r="B29" s="18" t="s">
        <v>25</v>
      </c>
      <c r="C29" s="12">
        <f>SUM(OrganisationalWasteTable[Direct])</f>
        <v>0</v>
      </c>
      <c r="D29" s="12">
        <f>-SUM(OrganisationalWasteTable[Indirect generation])</f>
        <v>0</v>
      </c>
      <c r="E29" s="12">
        <f>SUM(OrganisationalWasteTable[[Indirect service]:[Indirect WTT]])</f>
        <v>0</v>
      </c>
      <c r="F29" s="282">
        <f>SUM(C29:E29)</f>
        <v>0</v>
      </c>
      <c r="H29" s="27"/>
    </row>
    <row r="30" spans="2:9" ht="15.75" thickBot="1" x14ac:dyDescent="0.3">
      <c r="B30" s="265" t="str">
        <f>B26</f>
        <v>Waste</v>
      </c>
      <c r="C30" s="21">
        <f>SUM(C29:C29)</f>
        <v>0</v>
      </c>
      <c r="D30" s="21">
        <f>SUM(D29:D29)</f>
        <v>0</v>
      </c>
      <c r="E30" s="21">
        <f>SUM(E29:E29)</f>
        <v>0</v>
      </c>
      <c r="F30" s="175">
        <f>SUM(F29:F29)</f>
        <v>0</v>
      </c>
    </row>
    <row r="33" spans="2:10" ht="19.5" thickBot="1" x14ac:dyDescent="0.3">
      <c r="B33" s="31" t="s">
        <v>978</v>
      </c>
      <c r="C33" s="316" t="s">
        <v>12</v>
      </c>
      <c r="D33" s="317"/>
      <c r="E33" s="317"/>
      <c r="F33" s="318"/>
      <c r="G33" s="260"/>
      <c r="H33" s="249"/>
      <c r="I33" s="247"/>
      <c r="J33" s="201"/>
    </row>
    <row r="34" spans="2:10" ht="35.450000000000003" customHeight="1" thickBot="1" x14ac:dyDescent="0.3">
      <c r="B34" s="3" t="s">
        <v>13</v>
      </c>
      <c r="C34" s="16" t="s">
        <v>14</v>
      </c>
      <c r="D34" s="16" t="s">
        <v>15</v>
      </c>
      <c r="E34" s="16" t="s">
        <v>15</v>
      </c>
      <c r="F34" s="16" t="s">
        <v>16</v>
      </c>
      <c r="G34" s="248"/>
      <c r="H34" s="27"/>
    </row>
    <row r="35" spans="2:10" ht="15.75" thickBot="1" x14ac:dyDescent="0.3">
      <c r="B35" s="3"/>
      <c r="C35" s="16" t="s">
        <v>18</v>
      </c>
      <c r="D35" s="16" t="s">
        <v>19</v>
      </c>
      <c r="E35" s="16" t="s">
        <v>20</v>
      </c>
      <c r="F35" s="16"/>
      <c r="G35" s="48"/>
    </row>
    <row r="36" spans="2:10" ht="15.75" thickBot="1" x14ac:dyDescent="0.3">
      <c r="B36" s="18" t="s">
        <v>38</v>
      </c>
      <c r="C36" s="6"/>
      <c r="D36" s="6"/>
      <c r="E36" s="202">
        <f>SUMIF(SupplyChainTier1[Supply chain group], B36, SupplyChainTier1[Tier 1 &amp; 2 combined emission])</f>
        <v>0</v>
      </c>
      <c r="F36" s="202">
        <f t="shared" ref="F36:F55" si="0">SUM(E36)</f>
        <v>0</v>
      </c>
      <c r="G36" s="49"/>
    </row>
    <row r="37" spans="2:10" ht="15.75" thickBot="1" x14ac:dyDescent="0.3">
      <c r="B37" s="18" t="s">
        <v>40</v>
      </c>
      <c r="C37" s="6"/>
      <c r="D37" s="6"/>
      <c r="E37" s="202">
        <f>SUMIF(SupplyChainTier1[Supply chain group], B37, SupplyChainTier1[Tier 1 &amp; 2 combined emission])</f>
        <v>0</v>
      </c>
      <c r="F37" s="202">
        <f t="shared" si="0"/>
        <v>0</v>
      </c>
      <c r="G37" s="44"/>
      <c r="I37" s="113"/>
      <c r="J37" s="49"/>
    </row>
    <row r="38" spans="2:10" ht="15.75" thickBot="1" x14ac:dyDescent="0.3">
      <c r="B38" s="18" t="s">
        <v>41</v>
      </c>
      <c r="C38" s="6"/>
      <c r="D38" s="6"/>
      <c r="E38" s="202">
        <f>SUMIF(SupplyChainTier1[Supply chain group], B38, SupplyChainTier1[Tier 1 &amp; 2 combined emission])</f>
        <v>0</v>
      </c>
      <c r="F38" s="202">
        <f t="shared" si="0"/>
        <v>0</v>
      </c>
      <c r="I38" s="113"/>
      <c r="J38" s="49"/>
    </row>
    <row r="39" spans="2:10" ht="15.75" thickBot="1" x14ac:dyDescent="0.3">
      <c r="B39" s="18" t="s">
        <v>42</v>
      </c>
      <c r="C39" s="6"/>
      <c r="D39" s="6"/>
      <c r="E39" s="202">
        <f>SUMIF(SupplyChainTier1[Supply chain group], B39, SupplyChainTier1[Tier 1 &amp; 2 combined emission])</f>
        <v>0</v>
      </c>
      <c r="F39" s="202">
        <f t="shared" si="0"/>
        <v>0</v>
      </c>
      <c r="I39" s="113"/>
      <c r="J39" s="49"/>
    </row>
    <row r="40" spans="2:10" ht="22.7" customHeight="1" thickBot="1" x14ac:dyDescent="0.3">
      <c r="B40" s="18" t="s">
        <v>43</v>
      </c>
      <c r="C40" s="6"/>
      <c r="D40" s="6"/>
      <c r="E40" s="202">
        <f>SUMIF(SupplyChainTier1[Supply chain group], B40, SupplyChainTier1[Tier 1 &amp; 2 combined emission])</f>
        <v>0</v>
      </c>
      <c r="F40" s="202">
        <f t="shared" si="0"/>
        <v>0</v>
      </c>
      <c r="I40" s="113"/>
      <c r="J40" s="49"/>
    </row>
    <row r="41" spans="2:10" ht="15.75" thickBot="1" x14ac:dyDescent="0.3">
      <c r="B41" s="18" t="s">
        <v>44</v>
      </c>
      <c r="C41" s="6"/>
      <c r="D41" s="6"/>
      <c r="E41" s="202">
        <f>SUMIF(SupplyChainTier1[Supply chain group], B41, SupplyChainTier1[Tier 1 &amp; 2 combined emission])</f>
        <v>0</v>
      </c>
      <c r="F41" s="202">
        <f t="shared" si="0"/>
        <v>0</v>
      </c>
      <c r="I41" s="113"/>
      <c r="J41" s="49"/>
    </row>
    <row r="42" spans="2:10" ht="26.25" thickBot="1" x14ac:dyDescent="0.3">
      <c r="B42" s="18" t="s">
        <v>45</v>
      </c>
      <c r="C42" s="6"/>
      <c r="D42" s="6"/>
      <c r="E42" s="202">
        <f>SUMIF(SupplyChainTier1[Supply chain group], B42, SupplyChainTier1[Tier 1 &amp; 2 combined emission])</f>
        <v>0</v>
      </c>
      <c r="F42" s="202">
        <f t="shared" si="0"/>
        <v>0</v>
      </c>
      <c r="I42" s="113"/>
      <c r="J42" s="49"/>
    </row>
    <row r="43" spans="2:10" ht="15.75" thickBot="1" x14ac:dyDescent="0.3">
      <c r="B43" s="18" t="s">
        <v>46</v>
      </c>
      <c r="C43" s="6"/>
      <c r="D43" s="6"/>
      <c r="E43" s="202">
        <f>SUMIF(SupplyChainTier1[Supply chain group], B43, SupplyChainTier1[Tier 1 &amp; 2 combined emission])</f>
        <v>0</v>
      </c>
      <c r="F43" s="202">
        <f t="shared" si="0"/>
        <v>0</v>
      </c>
      <c r="I43" s="113"/>
      <c r="J43" s="49"/>
    </row>
    <row r="44" spans="2:10" ht="15.75" thickBot="1" x14ac:dyDescent="0.3">
      <c r="B44" s="18" t="s">
        <v>47</v>
      </c>
      <c r="C44" s="6"/>
      <c r="D44" s="6"/>
      <c r="E44" s="202">
        <f>SUMIF(SupplyChainTier1[Supply chain group], B44, SupplyChainTier1[Tier 1 &amp; 2 combined emission])</f>
        <v>0</v>
      </c>
      <c r="F44" s="202">
        <f t="shared" si="0"/>
        <v>0</v>
      </c>
      <c r="I44" s="113"/>
      <c r="J44" s="49"/>
    </row>
    <row r="45" spans="2:10" ht="15.75" thickBot="1" x14ac:dyDescent="0.3">
      <c r="B45" s="18" t="s">
        <v>48</v>
      </c>
      <c r="C45" s="6"/>
      <c r="D45" s="6"/>
      <c r="E45" s="202">
        <f>SUMIF(SupplyChainTier1[Supply chain group], B45, SupplyChainTier1[Tier 1 &amp; 2 combined emission])</f>
        <v>0</v>
      </c>
      <c r="F45" s="202">
        <f t="shared" si="0"/>
        <v>0</v>
      </c>
      <c r="I45" s="113"/>
      <c r="J45" s="49"/>
    </row>
    <row r="46" spans="2:10" ht="15.75" thickBot="1" x14ac:dyDescent="0.3">
      <c r="B46" s="18" t="s">
        <v>49</v>
      </c>
      <c r="C46" s="6"/>
      <c r="D46" s="6"/>
      <c r="E46" s="202">
        <f>SUMIF(SupplyChainTier1[Supply chain group], B46, SupplyChainTier1[Tier 1 &amp; 2 combined emission])</f>
        <v>0</v>
      </c>
      <c r="F46" s="202">
        <f t="shared" si="0"/>
        <v>0</v>
      </c>
      <c r="H46" s="230"/>
      <c r="I46" s="113"/>
      <c r="J46" s="49"/>
    </row>
    <row r="47" spans="2:10" ht="15.75" thickBot="1" x14ac:dyDescent="0.3">
      <c r="B47" s="18" t="s">
        <v>50</v>
      </c>
      <c r="C47" s="6"/>
      <c r="D47" s="6"/>
      <c r="E47" s="202">
        <f>SUMIF(SupplyChainTier1[Supply chain group], B47, SupplyChainTier1[Tier 1 &amp; 2 combined emission])</f>
        <v>0</v>
      </c>
      <c r="F47" s="202">
        <f t="shared" si="0"/>
        <v>0</v>
      </c>
      <c r="I47" s="113"/>
      <c r="J47" s="49"/>
    </row>
    <row r="48" spans="2:10" ht="15.75" thickBot="1" x14ac:dyDescent="0.3">
      <c r="B48" s="18" t="s">
        <v>51</v>
      </c>
      <c r="C48" s="6"/>
      <c r="D48" s="6"/>
      <c r="E48" s="202">
        <f>SUMIF(SupplyChainTier1[Supply chain group], B48, SupplyChainTier1[Tier 1 &amp; 2 combined emission])</f>
        <v>0</v>
      </c>
      <c r="F48" s="202">
        <f t="shared" si="0"/>
        <v>0</v>
      </c>
      <c r="I48" s="113"/>
      <c r="J48" s="49"/>
    </row>
    <row r="49" spans="2:11" ht="15.75" thickBot="1" x14ac:dyDescent="0.3">
      <c r="B49" s="18" t="s">
        <v>52</v>
      </c>
      <c r="C49" s="6"/>
      <c r="D49" s="6"/>
      <c r="E49" s="202">
        <f>SUMIF(SupplyChainTier1[Supply chain group], B49, SupplyChainTier1[Tier 1 &amp; 2 combined emission])</f>
        <v>0</v>
      </c>
      <c r="F49" s="202">
        <f t="shared" si="0"/>
        <v>0</v>
      </c>
      <c r="I49" s="113"/>
      <c r="J49" s="49"/>
    </row>
    <row r="50" spans="2:11" ht="15.75" thickBot="1" x14ac:dyDescent="0.3">
      <c r="B50" s="18" t="s">
        <v>53</v>
      </c>
      <c r="C50" s="6"/>
      <c r="D50" s="6"/>
      <c r="E50" s="202">
        <f>SUMIF(SupplyChainTier1[Supply chain group], B50, SupplyChainTier1[Tier 1 &amp; 2 combined emission])</f>
        <v>0</v>
      </c>
      <c r="F50" s="202">
        <f t="shared" si="0"/>
        <v>0</v>
      </c>
      <c r="I50" s="113"/>
      <c r="J50" s="49"/>
    </row>
    <row r="51" spans="2:11" ht="15.75" thickBot="1" x14ac:dyDescent="0.3">
      <c r="B51" s="18" t="s">
        <v>1048</v>
      </c>
      <c r="C51" s="6"/>
      <c r="D51" s="6"/>
      <c r="E51" s="202">
        <f>SUMIF(SupplyChainTier1[Supply chain group], B51, SupplyChainTier1[Tier 1 &amp; 2 combined emission])</f>
        <v>0</v>
      </c>
      <c r="F51" s="202">
        <f t="shared" si="0"/>
        <v>0</v>
      </c>
      <c r="I51" s="113"/>
      <c r="J51" s="49"/>
    </row>
    <row r="52" spans="2:11" ht="15.75" thickBot="1" x14ac:dyDescent="0.3">
      <c r="B52" s="18" t="s">
        <v>55</v>
      </c>
      <c r="C52" s="6"/>
      <c r="D52" s="6"/>
      <c r="E52" s="202">
        <f>SUMIF(SupplyChainTier1[Supply chain group], B52, SupplyChainTier1[Tier 1 &amp; 2 combined emission])</f>
        <v>0</v>
      </c>
      <c r="F52" s="202">
        <f t="shared" si="0"/>
        <v>0</v>
      </c>
      <c r="I52" s="113"/>
      <c r="J52" s="49"/>
    </row>
    <row r="53" spans="2:11" ht="15.75" thickBot="1" x14ac:dyDescent="0.3">
      <c r="B53" s="18" t="s">
        <v>56</v>
      </c>
      <c r="C53" s="6"/>
      <c r="D53" s="6"/>
      <c r="E53" s="202">
        <f>SUMIF(SupplyChainTier1[Supply chain group], B53, SupplyChainTier1[Tier 1 &amp; 2 combined emission])</f>
        <v>0</v>
      </c>
      <c r="F53" s="202">
        <f t="shared" si="0"/>
        <v>0</v>
      </c>
      <c r="I53" s="113"/>
      <c r="J53" s="49"/>
    </row>
    <row r="54" spans="2:11" ht="15.75" thickBot="1" x14ac:dyDescent="0.3">
      <c r="B54" s="18" t="s">
        <v>57</v>
      </c>
      <c r="C54" s="6"/>
      <c r="D54" s="6"/>
      <c r="E54" s="202">
        <f>SUMIF(SupplyChainTier1[Supply chain group], B54, SupplyChainTier1[Tier 1 &amp; 2 combined emission])</f>
        <v>0</v>
      </c>
      <c r="F54" s="202">
        <f t="shared" si="0"/>
        <v>0</v>
      </c>
      <c r="G54" s="7"/>
      <c r="I54" s="114"/>
      <c r="J54" s="55"/>
    </row>
    <row r="55" spans="2:11" ht="26.25" thickBot="1" x14ac:dyDescent="0.3">
      <c r="B55" s="18" t="s">
        <v>58</v>
      </c>
      <c r="C55" s="6"/>
      <c r="D55" s="6"/>
      <c r="E55" s="202">
        <f>SUMIF(SupplyChainTier1[Supply chain group], B55, SupplyChainTier1[Tier 1 &amp; 2 combined emission])</f>
        <v>0</v>
      </c>
      <c r="F55" s="202">
        <f t="shared" si="0"/>
        <v>0</v>
      </c>
      <c r="G55" s="63"/>
      <c r="H55" s="68"/>
      <c r="I55" s="115"/>
      <c r="J55" s="59"/>
      <c r="K55" s="54"/>
    </row>
    <row r="56" spans="2:11" x14ac:dyDescent="0.25">
      <c r="B56" s="20" t="str">
        <f>B33</f>
        <v>Supply chain - Tier 1 and Tier 2 combined</v>
      </c>
      <c r="C56" s="21"/>
      <c r="D56" s="21"/>
      <c r="E56" s="21">
        <f>SUM(E36:E55)</f>
        <v>0</v>
      </c>
      <c r="F56" s="283">
        <f>SUM(F36:F55)</f>
        <v>0</v>
      </c>
      <c r="G56" s="63"/>
      <c r="H56" s="68"/>
      <c r="I56" s="116"/>
      <c r="J56" s="60"/>
      <c r="K56" s="54"/>
    </row>
    <row r="58" spans="2:11" ht="15" customHeight="1" x14ac:dyDescent="0.25"/>
    <row r="60" spans="2:11" ht="15.75" thickBot="1" x14ac:dyDescent="0.3"/>
    <row r="61" spans="2:11" ht="26.45" customHeight="1" thickBot="1" x14ac:dyDescent="0.3">
      <c r="B61" s="31" t="s">
        <v>29</v>
      </c>
      <c r="C61" s="311" t="s">
        <v>30</v>
      </c>
      <c r="D61" s="312"/>
      <c r="E61" s="48"/>
      <c r="F61" s="48"/>
      <c r="G61" s="48"/>
      <c r="H61" s="48"/>
      <c r="I61" s="48"/>
    </row>
    <row r="62" spans="2:11" ht="37.5" customHeight="1" thickBot="1" x14ac:dyDescent="0.3">
      <c r="B62" s="3" t="s">
        <v>13</v>
      </c>
      <c r="C62" s="16" t="s">
        <v>31</v>
      </c>
      <c r="D62" s="16" t="s">
        <v>32</v>
      </c>
      <c r="E62" s="48"/>
      <c r="F62" s="48"/>
      <c r="G62" s="48"/>
      <c r="H62" s="48"/>
      <c r="I62" s="48"/>
    </row>
    <row r="63" spans="2:11" ht="15.75" thickBot="1" x14ac:dyDescent="0.3">
      <c r="B63" s="3"/>
      <c r="C63" s="16" t="s">
        <v>18</v>
      </c>
      <c r="D63" s="16" t="s">
        <v>19</v>
      </c>
      <c r="E63" s="48"/>
      <c r="F63" s="48"/>
      <c r="G63" s="48"/>
      <c r="H63" s="48"/>
      <c r="I63" s="48"/>
    </row>
    <row r="64" spans="2:11" ht="15.75" thickBot="1" x14ac:dyDescent="0.3">
      <c r="B64" s="18" t="s">
        <v>33</v>
      </c>
      <c r="C64" s="12">
        <f>SUMIF(OnsiteRenewablesTable[Renewable Type], "Renewable heat", OnsiteRenewablesTable[Total kWh generated])</f>
        <v>0</v>
      </c>
      <c r="D64" s="12">
        <f>SUMIF(OnsiteRenewablesTable[Renewable Type], "Renewable heat", OnsiteRenewablesTable[kWh exported])</f>
        <v>0</v>
      </c>
      <c r="E64" s="81"/>
      <c r="F64" s="50"/>
      <c r="G64" s="51"/>
      <c r="H64" s="52"/>
      <c r="I64" s="52"/>
    </row>
    <row r="65" spans="2:11" ht="15.75" thickBot="1" x14ac:dyDescent="0.3">
      <c r="B65" s="18" t="s">
        <v>34</v>
      </c>
      <c r="C65" s="12">
        <f>SUMIF(OnsiteRenewablesTable[Renewable Type], "Renewable electricity", OnsiteRenewablesTable[Total kWh generated])</f>
        <v>0</v>
      </c>
      <c r="D65" s="12">
        <f>SUMIF(OnsiteRenewablesTable[Renewable Type], "Renewable electricity", OnsiteRenewablesTable[kWh exported])</f>
        <v>0</v>
      </c>
      <c r="E65" s="49"/>
      <c r="F65" s="50"/>
      <c r="G65" s="51"/>
      <c r="H65" s="52"/>
      <c r="I65" s="52"/>
    </row>
    <row r="66" spans="2:11" ht="15.75" thickBot="1" x14ac:dyDescent="0.3">
      <c r="B66" s="18" t="s">
        <v>35</v>
      </c>
      <c r="C66" s="12">
        <f>SUMIF(OnsiteRenewablesTable[Renewable Type], "Renewable CHP", OnsiteRenewablesTable[Total kWh generated])</f>
        <v>0</v>
      </c>
      <c r="D66" s="12">
        <f>SUMIF(OnsiteRenewablesTable[Renewable Type], "Renewable CHP", OnsiteRenewablesTable[kWh exported])</f>
        <v>0</v>
      </c>
      <c r="E66" s="55"/>
      <c r="F66" s="56"/>
      <c r="G66" s="57"/>
      <c r="H66" s="58"/>
      <c r="I66" s="58"/>
      <c r="J66" s="62"/>
    </row>
    <row r="67" spans="2:11" ht="15.75" thickBot="1" x14ac:dyDescent="0.3">
      <c r="B67" s="18" t="s">
        <v>36</v>
      </c>
      <c r="C67" s="12">
        <f>SUMIF(PurchasedRenewablesTable[Renewable Type], "Purchased renewable heat", PurchasedRenewablesTable[Total kWh purchased])</f>
        <v>0</v>
      </c>
      <c r="D67" s="177"/>
      <c r="E67" s="59"/>
      <c r="F67" s="59"/>
      <c r="G67" s="60"/>
      <c r="H67" s="61"/>
      <c r="I67" s="61"/>
      <c r="J67" s="63"/>
      <c r="K67" s="54"/>
    </row>
    <row r="68" spans="2:11" ht="15.75" thickBot="1" x14ac:dyDescent="0.3">
      <c r="B68" s="18" t="s">
        <v>37</v>
      </c>
      <c r="C68" s="12">
        <f>SUMIF(PurchasedRenewablesTable[Renewable Type], "Purchased renewable electricity", PurchasedRenewablesTable[Total kWh purchased])</f>
        <v>0</v>
      </c>
      <c r="D68" s="177"/>
      <c r="E68" s="59"/>
      <c r="F68" s="59"/>
      <c r="G68" s="60"/>
      <c r="H68" s="61"/>
      <c r="I68" s="61"/>
      <c r="J68" s="63"/>
      <c r="K68" s="54"/>
    </row>
    <row r="69" spans="2:11" x14ac:dyDescent="0.25">
      <c r="B69" s="20" t="str">
        <f>B61</f>
        <v>Renewables</v>
      </c>
      <c r="C69" s="21">
        <f>SUM(C64:C68)</f>
        <v>0</v>
      </c>
      <c r="D69" s="53">
        <f>SUM(D64:D68)</f>
        <v>0</v>
      </c>
      <c r="E69" s="27"/>
      <c r="F69" s="27"/>
      <c r="G69" s="27"/>
      <c r="H69" s="27"/>
      <c r="I69" s="46"/>
      <c r="J69" s="46"/>
    </row>
    <row r="70" spans="2:11" x14ac:dyDescent="0.25">
      <c r="I70" s="44"/>
      <c r="J70" s="44"/>
    </row>
    <row r="71" spans="2:11" x14ac:dyDescent="0.25">
      <c r="I71" s="44"/>
      <c r="J71" s="44"/>
    </row>
    <row r="96" spans="6:13" x14ac:dyDescent="0.25">
      <c r="F96" s="26"/>
      <c r="G96" s="63"/>
      <c r="H96" s="63"/>
      <c r="I96" s="63"/>
      <c r="J96" s="63"/>
      <c r="K96" s="54"/>
      <c r="L96" s="27"/>
      <c r="M96" s="27"/>
    </row>
    <row r="97" spans="7:10" x14ac:dyDescent="0.25">
      <c r="G97" s="27"/>
      <c r="H97" s="27"/>
      <c r="I97" s="27"/>
      <c r="J97" s="27"/>
    </row>
  </sheetData>
  <sheetProtection algorithmName="SHA-512" hashValue="4C5z/y3UsqEvPsPkMGjvMOOtcOkg8CXPF+NgjLzp2Q2zhejxCI+IxI3QmqzAEg9EcLfeDtBFIty1Ti3PsbMjOA==" saltValue="jk+QOhUMQHykkLbAlw/5zQ==" spinCount="100000" sheet="1" objects="1" scenarios="1"/>
  <mergeCells count="3">
    <mergeCell ref="C61:D61"/>
    <mergeCell ref="B3:I3"/>
    <mergeCell ref="C33:F33"/>
  </mergeCells>
  <dataValidations count="1">
    <dataValidation type="list" allowBlank="1" showInputMessage="1" showErrorMessage="1" sqref="B22:B23 B29 B36:B55 B64:B68 B15:B16" xr:uid="{00000000-0002-0000-0100-000000000000}">
      <formula1>Type</formula1>
    </dataValidation>
  </dataValidation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27CCF9"/>
  </sheetPr>
  <dimension ref="A1:Z70"/>
  <sheetViews>
    <sheetView workbookViewId="0">
      <selection activeCell="F8" sqref="F8"/>
    </sheetView>
  </sheetViews>
  <sheetFormatPr defaultColWidth="8.5703125" defaultRowHeight="15" x14ac:dyDescent="0.25"/>
  <cols>
    <col min="1" max="1" width="1.85546875" style="127" customWidth="1"/>
    <col min="2" max="2" width="27.85546875" style="121" customWidth="1"/>
    <col min="3" max="3" width="29.42578125" style="121" customWidth="1"/>
    <col min="4" max="4" width="20.140625" style="121" customWidth="1"/>
    <col min="5" max="5" width="16.85546875" style="121" customWidth="1"/>
    <col min="6" max="6" width="11.42578125" style="121" customWidth="1"/>
    <col min="7" max="7" width="14.85546875" style="121" customWidth="1"/>
    <col min="8" max="8" width="11.42578125" style="121" customWidth="1"/>
    <col min="9" max="9" width="19.5703125" style="121" customWidth="1"/>
    <col min="10" max="10" width="19" style="121" customWidth="1"/>
    <col min="11" max="11" width="19.42578125" style="121" customWidth="1"/>
    <col min="12" max="12" width="18.85546875" style="121" customWidth="1"/>
    <col min="13" max="13" width="20.5703125" style="121" customWidth="1"/>
    <col min="14" max="14" width="22.42578125" style="121" customWidth="1"/>
    <col min="15" max="15" width="12.140625" style="121" customWidth="1"/>
    <col min="16" max="16" width="13.140625" style="121" customWidth="1"/>
    <col min="17" max="17" width="12.140625" style="121" customWidth="1"/>
    <col min="18" max="18" width="10.85546875" style="121" customWidth="1"/>
    <col min="19" max="19" width="11.5703125" style="121" customWidth="1"/>
    <col min="20" max="20" width="12" style="121" customWidth="1"/>
    <col min="21" max="21" width="11.140625" style="121" customWidth="1"/>
    <col min="22" max="22" width="10.85546875" style="121" customWidth="1"/>
    <col min="23" max="23" width="8.5703125" style="121" customWidth="1"/>
    <col min="24" max="16384" width="8.5703125" style="121"/>
  </cols>
  <sheetData>
    <row r="1" spans="1:22" s="1" customFormat="1" ht="15.75" thickBot="1" x14ac:dyDescent="0.3">
      <c r="A1" s="35"/>
      <c r="D1" s="13"/>
      <c r="N1" s="147" t="s">
        <v>59</v>
      </c>
      <c r="O1" s="331" t="s">
        <v>2</v>
      </c>
      <c r="P1" s="332"/>
      <c r="Q1" s="319" t="s">
        <v>5</v>
      </c>
      <c r="R1" s="320"/>
      <c r="S1" s="54"/>
    </row>
    <row r="2" spans="1:22" s="1" customFormat="1" ht="19.5" thickBot="1" x14ac:dyDescent="0.3">
      <c r="A2" s="35"/>
      <c r="B2" s="323" t="s">
        <v>1019</v>
      </c>
      <c r="C2" s="324"/>
      <c r="D2" s="324"/>
      <c r="E2" s="324"/>
      <c r="F2" s="324"/>
      <c r="G2" s="324"/>
      <c r="H2" s="324"/>
      <c r="I2" s="324"/>
      <c r="J2" s="324"/>
      <c r="K2" s="324"/>
      <c r="L2" s="324"/>
      <c r="M2" s="325"/>
      <c r="N2" s="26"/>
      <c r="O2" s="329" t="s">
        <v>3</v>
      </c>
      <c r="P2" s="330"/>
      <c r="Q2" s="321" t="s">
        <v>6</v>
      </c>
      <c r="R2" s="322"/>
      <c r="S2" s="54"/>
    </row>
    <row r="3" spans="1:22" s="1" customFormat="1" ht="50.45" customHeight="1" thickBot="1" x14ac:dyDescent="0.3">
      <c r="A3" s="35"/>
      <c r="B3" s="326" t="s">
        <v>1036</v>
      </c>
      <c r="C3" s="327"/>
      <c r="D3" s="327"/>
      <c r="E3" s="327"/>
      <c r="F3" s="327"/>
      <c r="G3" s="327"/>
      <c r="H3" s="327"/>
      <c r="I3" s="327"/>
      <c r="J3" s="327"/>
      <c r="K3" s="327"/>
      <c r="L3" s="327"/>
      <c r="M3" s="328"/>
      <c r="O3" s="27"/>
      <c r="P3" s="27"/>
      <c r="Q3" s="27"/>
      <c r="R3" s="27"/>
    </row>
    <row r="4" spans="1:22" s="1" customFormat="1" ht="120.75" customHeight="1" x14ac:dyDescent="0.25">
      <c r="A4" s="35"/>
      <c r="B4" s="326" t="s">
        <v>1037</v>
      </c>
      <c r="C4" s="327"/>
      <c r="D4" s="327"/>
      <c r="E4" s="327"/>
      <c r="F4" s="327"/>
      <c r="G4" s="327"/>
      <c r="H4" s="327"/>
      <c r="I4" s="327"/>
      <c r="J4" s="327"/>
      <c r="K4" s="327"/>
      <c r="L4" s="327"/>
      <c r="M4" s="328"/>
      <c r="O4" s="13"/>
    </row>
    <row r="5" spans="1:22" s="1" customFormat="1" ht="15.75" customHeight="1" x14ac:dyDescent="0.25">
      <c r="A5" s="35"/>
      <c r="B5" s="241"/>
      <c r="C5" s="241"/>
      <c r="D5" s="241"/>
      <c r="E5" s="241"/>
      <c r="F5" s="241"/>
      <c r="G5" s="241"/>
      <c r="H5" s="243"/>
      <c r="I5" s="243"/>
      <c r="J5" s="243"/>
      <c r="K5" s="241"/>
      <c r="L5" s="243"/>
      <c r="M5" s="243"/>
      <c r="N5" s="7"/>
      <c r="O5" s="13"/>
      <c r="V5" s="7"/>
    </row>
    <row r="6" spans="1:22" s="1" customFormat="1" ht="19.5" thickBot="1" x14ac:dyDescent="0.4">
      <c r="A6" s="35"/>
      <c r="B6" s="262" t="s">
        <v>60</v>
      </c>
      <c r="C6" s="263"/>
      <c r="D6" s="137"/>
      <c r="E6" s="137"/>
      <c r="F6" s="242"/>
      <c r="G6" s="242"/>
      <c r="H6" s="137"/>
      <c r="I6" s="240" t="str">
        <f>IFERROR(IF(SUM(BuildingsTable[Total EF (kgCO2e/unit)])&gt;0,"No errors in this table","No data entered"), "There is an error in this table, see highlighted row(s)")</f>
        <v>No data entered</v>
      </c>
      <c r="J6" s="137"/>
      <c r="K6" s="137"/>
      <c r="L6" s="40" t="s">
        <v>775</v>
      </c>
      <c r="M6" s="7"/>
      <c r="N6" s="7"/>
      <c r="T6" s="44"/>
      <c r="V6" s="7"/>
    </row>
    <row r="7" spans="1:22" s="1" customFormat="1" ht="35.25" customHeight="1" thickBot="1" x14ac:dyDescent="0.3">
      <c r="A7" s="148"/>
      <c r="B7" s="41" t="s">
        <v>62</v>
      </c>
      <c r="C7" s="28" t="s">
        <v>63</v>
      </c>
      <c r="D7" s="28" t="s">
        <v>64</v>
      </c>
      <c r="E7" s="28" t="s">
        <v>67</v>
      </c>
      <c r="F7" s="28" t="s">
        <v>68</v>
      </c>
      <c r="G7" s="28" t="s">
        <v>69</v>
      </c>
      <c r="H7" s="28" t="s">
        <v>70</v>
      </c>
      <c r="I7" s="28" t="s">
        <v>773</v>
      </c>
      <c r="J7" s="28" t="s">
        <v>774</v>
      </c>
      <c r="K7" s="28" t="s">
        <v>72</v>
      </c>
      <c r="L7" s="8" t="s">
        <v>14</v>
      </c>
      <c r="M7" s="8" t="s">
        <v>73</v>
      </c>
      <c r="N7" s="8" t="s">
        <v>74</v>
      </c>
      <c r="O7" s="8" t="s">
        <v>75</v>
      </c>
      <c r="P7" s="8" t="s">
        <v>76</v>
      </c>
      <c r="Q7" s="54"/>
    </row>
    <row r="8" spans="1:22" s="1" customFormat="1" ht="15.75" thickBot="1" x14ac:dyDescent="0.3">
      <c r="A8" s="148"/>
      <c r="B8" s="126"/>
      <c r="C8" s="123"/>
      <c r="D8" s="123"/>
      <c r="E8" s="120"/>
      <c r="F8" s="123"/>
      <c r="G8" s="125" t="str">
        <f t="array" ref="G8">IF(OR($C8="",$B8="",$E8="",$F8=""),"",IF(F8=H8,E8,(INDEX('Emission factors'!$K$3:$V$201,MATCH(C8&amp;D8,'Emission factors'!$J$3:$J$201&amp;'Emission factors'!$K$3:$K$201,0),MATCH(G$7,'Emission factors'!$K$2:$V$2,0)))*E8))</f>
        <v/>
      </c>
      <c r="H8" s="29" t="str">
        <f>IF(OR($C8="",$B8="",$E8="",$F8=""),"",INDEX('Emission factors'!$K$3:$V$201,MATCH('Buildings, Fleet &amp; Equipment'!$C8,'Emission factors'!$J$3:$J$201,0),MATCH($H$7,'Emission factors'!$K$2:$V$2,0)))</f>
        <v/>
      </c>
      <c r="I8" s="149" t="str">
        <f t="array" ref="I8">IF(OR(C8="",E8="",BuildingsTable[[#This Row],[Units]]=""),"",INDEX('Emission factors'!$K$3:$V$201,MATCH('Buildings, Fleet &amp; Equipment'!$C8&amp;D8,'Emission factors'!$J$3:$J$201&amp;'Emission factors'!$K$3:$K$201,0),MATCH('Buildings, Fleet &amp; Equipment'!$I$7,'Emission factors'!$K$2:$V$2,0)))</f>
        <v/>
      </c>
      <c r="J8" s="213" t="str">
        <f>IF(OR(G8="",I8=""),"",SUM(BuildingsTable[[#This Row],[Direct]:[Indirect WTT]]))</f>
        <v/>
      </c>
      <c r="K8" s="122"/>
      <c r="L8" s="214" t="str">
        <f t="array" ref="L8">IF(OR($C8="",$E8=""),"",(INDEX('Emission factors'!$K$3:$V$201,MATCH('Buildings, Fleet &amp; Equipment'!$C8&amp;$D8,'Emission factors'!$J$3:$J$201&amp;'Emission factors'!$K$3:$K$201,0),MATCH('Buildings, Fleet &amp; Equipment'!L$7,'Emission factors'!$K$2:$V$2,0)))*$G8)</f>
        <v/>
      </c>
      <c r="M8" s="214" t="str">
        <f t="array" ref="M8">IF(OR($C8="",$E8=""),"",(INDEX('Emission factors'!$K$3:$V$201,MATCH('Buildings, Fleet &amp; Equipment'!$C8&amp;$D8,'Emission factors'!$J$3:$J$201&amp;'Emission factors'!$K$3:$K$201,0),MATCH('Buildings, Fleet &amp; Equipment'!M$7,'Emission factors'!$K$2:$V$2,0)))*$G8)</f>
        <v/>
      </c>
      <c r="N8" s="214" t="str">
        <f t="array" ref="N8">IF(OR($C8="",$E8=""),"",(INDEX('Emission factors'!$K$3:$V$201,MATCH('Buildings, Fleet &amp; Equipment'!$C8&amp;$D8,'Emission factors'!$J$3:$J$201&amp;'Emission factors'!$K$3:$K$201,0),MATCH('Buildings, Fleet &amp; Equipment'!N$7,'Emission factors'!$K$2:$V$2,0)))*$G8)</f>
        <v/>
      </c>
      <c r="O8" s="214" t="str">
        <f t="array" ref="O8">IF(OR($C8="",$E8=""),"",(INDEX('Emission factors'!$K$3:$V$201,MATCH('Buildings, Fleet &amp; Equipment'!$C8&amp;$D8,'Emission factors'!$J$3:$J$201&amp;'Emission factors'!$K$3:$K$201,0),MATCH('Buildings, Fleet &amp; Equipment'!O$7,'Emission factors'!$K$2:$V$2,0)))*$G8)</f>
        <v/>
      </c>
      <c r="P8" s="214" t="str">
        <f t="array" ref="P8">IF(OR($C8="",$E8=""),"",(INDEX('Emission factors'!$K$3:$V$201,MATCH('Buildings, Fleet &amp; Equipment'!$C8&amp;$D8,'Emission factors'!$J$3:$J$201&amp;'Emission factors'!$K$3:$K$201,0),MATCH('Buildings, Fleet &amp; Equipment'!P$7,'Emission factors'!$K$2:$V$2,0)))*$G8)</f>
        <v/>
      </c>
      <c r="Q8" s="54"/>
    </row>
    <row r="9" spans="1:22" s="1" customFormat="1" ht="15.75" thickBot="1" x14ac:dyDescent="0.3">
      <c r="A9" s="148"/>
      <c r="B9" s="126"/>
      <c r="C9" s="123"/>
      <c r="D9" s="123"/>
      <c r="E9" s="120"/>
      <c r="F9" s="123"/>
      <c r="G9" s="125" t="str">
        <f t="array" ref="G9">IF(OR($C9="",$B9="",$E9="",$F9=""),"",IF(F9=H9,E9,(INDEX('Emission factors'!$K$3:$V$201,MATCH(C9&amp;D9,'Emission factors'!$J$3:$J$201&amp;'Emission factors'!$K$3:$K$201,0),MATCH(G$7,'Emission factors'!$K$2:$V$2,0)))*E9))</f>
        <v/>
      </c>
      <c r="H9" s="29" t="str">
        <f>IF(OR($C9="",$B9="",$E9="",$F9=""),"",INDEX('Emission factors'!$K$3:$V$201,MATCH('Buildings, Fleet &amp; Equipment'!$C9,'Emission factors'!$J$3:$J$201,0),MATCH($H$7,'Emission factors'!$K$2:$V$2,0)))</f>
        <v/>
      </c>
      <c r="I9" s="149" t="str">
        <f t="array" ref="I9">IF(OR(C9="",E9="",BuildingsTable[[#This Row],[Units]]=""),"",INDEX('Emission factors'!$K$3:$V$201,MATCH('Buildings, Fleet &amp; Equipment'!$C9&amp;D9,'Emission factors'!$J$3:$J$201&amp;'Emission factors'!$K$3:$K$201,0),MATCH('Buildings, Fleet &amp; Equipment'!$I$7,'Emission factors'!$K$2:$V$2,0)))</f>
        <v/>
      </c>
      <c r="J9" s="213" t="str">
        <f>IF(OR(G9="",I9=""),"",SUM(BuildingsTable[[#This Row],[Direct]:[Indirect WTT]]))</f>
        <v/>
      </c>
      <c r="K9" s="122"/>
      <c r="L9" s="214" t="str">
        <f t="array" ref="L9">IF(OR($C9="",$E9=""),"",(INDEX('Emission factors'!$K$3:$V$201,MATCH('Buildings, Fleet &amp; Equipment'!$C9&amp;$D9,'Emission factors'!$J$3:$J$201&amp;'Emission factors'!$K$3:$K$201,0),MATCH('Buildings, Fleet &amp; Equipment'!L$7,'Emission factors'!$K$2:$V$2,0)))*$G9)</f>
        <v/>
      </c>
      <c r="M9" s="214" t="str">
        <f t="array" ref="M9">IF(OR($C9="",$E9=""),"",(INDEX('Emission factors'!$K$3:$V$201,MATCH('Buildings, Fleet &amp; Equipment'!$C9&amp;$D9,'Emission factors'!$J$3:$J$201&amp;'Emission factors'!$K$3:$K$201,0),MATCH('Buildings, Fleet &amp; Equipment'!M$7,'Emission factors'!$K$2:$V$2,0)))*$G9)</f>
        <v/>
      </c>
      <c r="N9" s="214" t="str">
        <f t="array" ref="N9">IF(OR($C9="",$E9=""),"",(INDEX('Emission factors'!$K$3:$V$201,MATCH('Buildings, Fleet &amp; Equipment'!$C9&amp;$D9,'Emission factors'!$J$3:$J$201&amp;'Emission factors'!$K$3:$K$201,0),MATCH('Buildings, Fleet &amp; Equipment'!N$7,'Emission factors'!$K$2:$V$2,0)))*$G9)</f>
        <v/>
      </c>
      <c r="O9" s="214" t="str">
        <f t="array" ref="O9">IF(OR($C9="",$E9=""),"",(INDEX('Emission factors'!$K$3:$V$201,MATCH('Buildings, Fleet &amp; Equipment'!$C9&amp;$D9,'Emission factors'!$J$3:$J$201&amp;'Emission factors'!$K$3:$K$201,0),MATCH('Buildings, Fleet &amp; Equipment'!O$7,'Emission factors'!$K$2:$V$2,0)))*$G9)</f>
        <v/>
      </c>
      <c r="P9" s="214" t="str">
        <f t="array" ref="P9">IF(OR($C9="",$E9=""),"",(INDEX('Emission factors'!$K$3:$V$201,MATCH('Buildings, Fleet &amp; Equipment'!$C9&amp;$D9,'Emission factors'!$J$3:$J$201&amp;'Emission factors'!$K$3:$K$201,0),MATCH('Buildings, Fleet &amp; Equipment'!P$7,'Emission factors'!$K$2:$V$2,0)))*$G9)</f>
        <v/>
      </c>
      <c r="Q9" s="54"/>
    </row>
    <row r="10" spans="1:22" s="1" customFormat="1" ht="15.75" thickBot="1" x14ac:dyDescent="0.3">
      <c r="A10" s="148"/>
      <c r="B10" s="126"/>
      <c r="C10" s="123"/>
      <c r="D10" s="123"/>
      <c r="E10" s="120"/>
      <c r="F10" s="123"/>
      <c r="G10" s="125" t="str">
        <f t="array" ref="G10">IF(OR($C10="",$B10="",$E10="",$F10=""),"",IF(F10=H10,E10,(INDEX('Emission factors'!$K$3:$V$201,MATCH(C10&amp;D10,'Emission factors'!$J$3:$J$201&amp;'Emission factors'!$K$3:$K$201,0),MATCH(G$7,'Emission factors'!$K$2:$V$2,0)))*E10))</f>
        <v/>
      </c>
      <c r="H10" s="29" t="str">
        <f>IF(OR($C10="",$B10="",$E10="",$F10=""),"",INDEX('Emission factors'!$K$3:$V$201,MATCH('Buildings, Fleet &amp; Equipment'!$C10,'Emission factors'!$J$3:$J$201,0),MATCH($H$7,'Emission factors'!$K$2:$V$2,0)))</f>
        <v/>
      </c>
      <c r="I10" s="149" t="str">
        <f t="array" ref="I10">IF(OR(C10="",E10="",BuildingsTable[[#This Row],[Units]]=""),"",INDEX('Emission factors'!$K$3:$V$201,MATCH('Buildings, Fleet &amp; Equipment'!$C10&amp;D10,'Emission factors'!$J$3:$J$201&amp;'Emission factors'!$K$3:$K$201,0),MATCH('Buildings, Fleet &amp; Equipment'!$I$7,'Emission factors'!$K$2:$V$2,0)))</f>
        <v/>
      </c>
      <c r="J10" s="213" t="str">
        <f>IF(OR(G10="",I10=""),"",SUM(BuildingsTable[[#This Row],[Direct]:[Indirect WTT]]))</f>
        <v/>
      </c>
      <c r="K10" s="122"/>
      <c r="L10" s="214" t="str">
        <f t="array" ref="L10">IF(OR($C10="",$E10=""),"",(INDEX('Emission factors'!$K$3:$V$201,MATCH('Buildings, Fleet &amp; Equipment'!$C10&amp;$D10,'Emission factors'!$J$3:$J$201&amp;'Emission factors'!$K$3:$K$201,0),MATCH('Buildings, Fleet &amp; Equipment'!L$7,'Emission factors'!$K$2:$V$2,0)))*$G10)</f>
        <v/>
      </c>
      <c r="M10" s="214" t="str">
        <f t="array" ref="M10">IF(OR($C10="",$E10=""),"",(INDEX('Emission factors'!$K$3:$V$201,MATCH('Buildings, Fleet &amp; Equipment'!$C10&amp;$D10,'Emission factors'!$J$3:$J$201&amp;'Emission factors'!$K$3:$K$201,0),MATCH('Buildings, Fleet &amp; Equipment'!M$7,'Emission factors'!$K$2:$V$2,0)))*$G10)</f>
        <v/>
      </c>
      <c r="N10" s="214" t="str">
        <f t="array" ref="N10">IF(OR($C10="",$E10=""),"",(INDEX('Emission factors'!$K$3:$V$201,MATCH('Buildings, Fleet &amp; Equipment'!$C10&amp;$D10,'Emission factors'!$J$3:$J$201&amp;'Emission factors'!$K$3:$K$201,0),MATCH('Buildings, Fleet &amp; Equipment'!N$7,'Emission factors'!$K$2:$V$2,0)))*$G10)</f>
        <v/>
      </c>
      <c r="O10" s="214" t="str">
        <f t="array" ref="O10">IF(OR($C10="",$E10=""),"",(INDEX('Emission factors'!$K$3:$V$201,MATCH('Buildings, Fleet &amp; Equipment'!$C10&amp;$D10,'Emission factors'!$J$3:$J$201&amp;'Emission factors'!$K$3:$K$201,0),MATCH('Buildings, Fleet &amp; Equipment'!O$7,'Emission factors'!$K$2:$V$2,0)))*$G10)</f>
        <v/>
      </c>
      <c r="P10" s="214" t="str">
        <f t="array" ref="P10">IF(OR($C10="",$E10=""),"",(INDEX('Emission factors'!$K$3:$V$201,MATCH('Buildings, Fleet &amp; Equipment'!$C10&amp;$D10,'Emission factors'!$J$3:$J$201&amp;'Emission factors'!$K$3:$K$201,0),MATCH('Buildings, Fleet &amp; Equipment'!P$7,'Emission factors'!$K$2:$V$2,0)))*$G10)</f>
        <v/>
      </c>
      <c r="Q10" s="54"/>
    </row>
    <row r="11" spans="1:22" s="1" customFormat="1" ht="15.75" thickBot="1" x14ac:dyDescent="0.3">
      <c r="A11" s="148"/>
      <c r="B11" s="126"/>
      <c r="C11" s="123"/>
      <c r="D11" s="123"/>
      <c r="E11" s="120"/>
      <c r="F11" s="123"/>
      <c r="G11" s="125" t="str">
        <f t="array" ref="G11">IF(OR($C11="",$B11="",$E11="",$F11=""),"",IF(F11=H11,E11,(INDEX('Emission factors'!$K$3:$V$201,MATCH(C11&amp;D11,'Emission factors'!$J$3:$J$201&amp;'Emission factors'!$K$3:$K$201,0),MATCH(G$7,'Emission factors'!$K$2:$V$2,0)))*E11))</f>
        <v/>
      </c>
      <c r="H11" s="29" t="str">
        <f>IF(OR($C11="",$B11="",$E11="",$F11=""),"",INDEX('Emission factors'!$K$3:$V$201,MATCH('Buildings, Fleet &amp; Equipment'!$C11,'Emission factors'!$J$3:$J$201,0),MATCH($H$7,'Emission factors'!$K$2:$V$2,0)))</f>
        <v/>
      </c>
      <c r="I11" s="149" t="str">
        <f t="array" ref="I11">IF(OR(C11="",E11="",BuildingsTable[[#This Row],[Units]]=""),"",INDEX('Emission factors'!$K$3:$V$201,MATCH('Buildings, Fleet &amp; Equipment'!$C11&amp;D11,'Emission factors'!$J$3:$J$201&amp;'Emission factors'!$K$3:$K$201,0),MATCH('Buildings, Fleet &amp; Equipment'!$I$7,'Emission factors'!$K$2:$V$2,0)))</f>
        <v/>
      </c>
      <c r="J11" s="213" t="str">
        <f>IF(OR(G11="",I11=""),"",SUM(BuildingsTable[[#This Row],[Direct]:[Indirect WTT]]))</f>
        <v/>
      </c>
      <c r="K11" s="122"/>
      <c r="L11" s="214" t="str">
        <f t="array" ref="L11">IF(OR($C11="",$E11=""),"",(INDEX('Emission factors'!$K$3:$V$201,MATCH('Buildings, Fleet &amp; Equipment'!$C11&amp;$D11,'Emission factors'!$J$3:$J$201&amp;'Emission factors'!$K$3:$K$201,0),MATCH('Buildings, Fleet &amp; Equipment'!L$7,'Emission factors'!$K$2:$V$2,0)))*$G11)</f>
        <v/>
      </c>
      <c r="M11" s="214" t="str">
        <f t="array" ref="M11">IF(OR($C11="",$E11=""),"",(INDEX('Emission factors'!$K$3:$V$201,MATCH('Buildings, Fleet &amp; Equipment'!$C11&amp;$D11,'Emission factors'!$J$3:$J$201&amp;'Emission factors'!$K$3:$K$201,0),MATCH('Buildings, Fleet &amp; Equipment'!M$7,'Emission factors'!$K$2:$V$2,0)))*$G11)</f>
        <v/>
      </c>
      <c r="N11" s="214" t="str">
        <f t="array" ref="N11">IF(OR($C11="",$E11=""),"",(INDEX('Emission factors'!$K$3:$V$201,MATCH('Buildings, Fleet &amp; Equipment'!$C11&amp;$D11,'Emission factors'!$J$3:$J$201&amp;'Emission factors'!$K$3:$K$201,0),MATCH('Buildings, Fleet &amp; Equipment'!N$7,'Emission factors'!$K$2:$V$2,0)))*$G11)</f>
        <v/>
      </c>
      <c r="O11" s="214" t="str">
        <f t="array" ref="O11">IF(OR($C11="",$E11=""),"",(INDEX('Emission factors'!$K$3:$V$201,MATCH('Buildings, Fleet &amp; Equipment'!$C11&amp;$D11,'Emission factors'!$J$3:$J$201&amp;'Emission factors'!$K$3:$K$201,0),MATCH('Buildings, Fleet &amp; Equipment'!O$7,'Emission factors'!$K$2:$V$2,0)))*$G11)</f>
        <v/>
      </c>
      <c r="P11" s="214" t="str">
        <f t="array" ref="P11">IF(OR($C11="",$E11=""),"",(INDEX('Emission factors'!$K$3:$V$201,MATCH('Buildings, Fleet &amp; Equipment'!$C11&amp;$D11,'Emission factors'!$J$3:$J$201&amp;'Emission factors'!$K$3:$K$201,0),MATCH('Buildings, Fleet &amp; Equipment'!P$7,'Emission factors'!$K$2:$V$2,0)))*$G11)</f>
        <v/>
      </c>
      <c r="Q11" s="54"/>
    </row>
    <row r="12" spans="1:22" s="1" customFormat="1" ht="15.75" thickBot="1" x14ac:dyDescent="0.3">
      <c r="A12" s="148"/>
      <c r="B12" s="126"/>
      <c r="C12" s="123"/>
      <c r="D12" s="123"/>
      <c r="E12" s="120"/>
      <c r="F12" s="123"/>
      <c r="G12" s="125" t="str">
        <f t="array" ref="G12">IF(OR($C12="",$B12="",$E12="",$F12=""),"",IF(F12=H12,E12,(INDEX('Emission factors'!$K$3:$V$201,MATCH(C12&amp;D12,'Emission factors'!$J$3:$J$201&amp;'Emission factors'!$K$3:$K$201,0),MATCH(G$7,'Emission factors'!$K$2:$V$2,0)))*E12))</f>
        <v/>
      </c>
      <c r="H12" s="29" t="str">
        <f>IF(OR($C12="",$B12="",$E12="",$F12=""),"",INDEX('Emission factors'!$K$3:$V$201,MATCH('Buildings, Fleet &amp; Equipment'!$C12,'Emission factors'!$J$3:$J$201,0),MATCH($H$7,'Emission factors'!$K$2:$V$2,0)))</f>
        <v/>
      </c>
      <c r="I12" s="149" t="str">
        <f t="array" ref="I12">IF(OR(C12="",E12="",BuildingsTable[[#This Row],[Units]]=""),"",INDEX('Emission factors'!$K$3:$V$201,MATCH('Buildings, Fleet &amp; Equipment'!$C12&amp;D12,'Emission factors'!$J$3:$J$201&amp;'Emission factors'!$K$3:$K$201,0),MATCH('Buildings, Fleet &amp; Equipment'!$I$7,'Emission factors'!$K$2:$V$2,0)))</f>
        <v/>
      </c>
      <c r="J12" s="213" t="str">
        <f>IF(OR(G12="",I12=""),"",SUM(BuildingsTable[[#This Row],[Direct]:[Indirect WTT]]))</f>
        <v/>
      </c>
      <c r="K12" s="122"/>
      <c r="L12" s="214" t="str">
        <f t="array" ref="L12">IF(OR($C12="",$E12=""),"",(INDEX('Emission factors'!$K$3:$V$201,MATCH('Buildings, Fleet &amp; Equipment'!$C12&amp;$D12,'Emission factors'!$J$3:$J$201&amp;'Emission factors'!$K$3:$K$201,0),MATCH('Buildings, Fleet &amp; Equipment'!L$7,'Emission factors'!$K$2:$V$2,0)))*$G12)</f>
        <v/>
      </c>
      <c r="M12" s="214" t="str">
        <f t="array" ref="M12">IF(OR($C12="",$E12=""),"",(INDEX('Emission factors'!$K$3:$V$201,MATCH('Buildings, Fleet &amp; Equipment'!$C12&amp;$D12,'Emission factors'!$J$3:$J$201&amp;'Emission factors'!$K$3:$K$201,0),MATCH('Buildings, Fleet &amp; Equipment'!M$7,'Emission factors'!$K$2:$V$2,0)))*$G12)</f>
        <v/>
      </c>
      <c r="N12" s="214" t="str">
        <f t="array" ref="N12">IF(OR($C12="",$E12=""),"",(INDEX('Emission factors'!$K$3:$V$201,MATCH('Buildings, Fleet &amp; Equipment'!$C12&amp;$D12,'Emission factors'!$J$3:$J$201&amp;'Emission factors'!$K$3:$K$201,0),MATCH('Buildings, Fleet &amp; Equipment'!N$7,'Emission factors'!$K$2:$V$2,0)))*$G12)</f>
        <v/>
      </c>
      <c r="O12" s="214" t="str">
        <f t="array" ref="O12">IF(OR($C12="",$E12=""),"",(INDEX('Emission factors'!$K$3:$V$201,MATCH('Buildings, Fleet &amp; Equipment'!$C12&amp;$D12,'Emission factors'!$J$3:$J$201&amp;'Emission factors'!$K$3:$K$201,0),MATCH('Buildings, Fleet &amp; Equipment'!O$7,'Emission factors'!$K$2:$V$2,0)))*$G12)</f>
        <v/>
      </c>
      <c r="P12" s="214" t="str">
        <f t="array" ref="P12">IF(OR($C12="",$E12=""),"",(INDEX('Emission factors'!$K$3:$V$201,MATCH('Buildings, Fleet &amp; Equipment'!$C12&amp;$D12,'Emission factors'!$J$3:$J$201&amp;'Emission factors'!$K$3:$K$201,0),MATCH('Buildings, Fleet &amp; Equipment'!P$7,'Emission factors'!$K$2:$V$2,0)))*$G12)</f>
        <v/>
      </c>
      <c r="Q12" s="54"/>
    </row>
    <row r="13" spans="1:22" s="1" customFormat="1" ht="15.75" thickBot="1" x14ac:dyDescent="0.3">
      <c r="A13" s="148"/>
      <c r="B13" s="126"/>
      <c r="C13" s="123"/>
      <c r="D13" s="123"/>
      <c r="E13" s="120"/>
      <c r="F13" s="123"/>
      <c r="G13" s="125" t="str">
        <f t="array" ref="G13">IF(OR($C13="",$B13="",$E13="",$F13=""),"",IF(F13=H13,E13,(INDEX('Emission factors'!$K$3:$V$201,MATCH(C13&amp;D13,'Emission factors'!$J$3:$J$201&amp;'Emission factors'!$K$3:$K$201,0),MATCH(G$7,'Emission factors'!$K$2:$V$2,0)))*E13))</f>
        <v/>
      </c>
      <c r="H13" s="29" t="str">
        <f>IF(OR($C13="",$B13="",$E13="",$F13=""),"",INDEX('Emission factors'!$K$3:$V$201,MATCH('Buildings, Fleet &amp; Equipment'!$C13,'Emission factors'!$J$3:$J$201,0),MATCH($H$7,'Emission factors'!$K$2:$V$2,0)))</f>
        <v/>
      </c>
      <c r="I13" s="149" t="str">
        <f t="array" ref="I13">IF(OR(C13="",E13="",BuildingsTable[[#This Row],[Units]]=""),"",INDEX('Emission factors'!$K$3:$V$201,MATCH('Buildings, Fleet &amp; Equipment'!$C13&amp;D13,'Emission factors'!$J$3:$J$201&amp;'Emission factors'!$K$3:$K$201,0),MATCH('Buildings, Fleet &amp; Equipment'!$I$7,'Emission factors'!$K$2:$V$2,0)))</f>
        <v/>
      </c>
      <c r="J13" s="213" t="str">
        <f>IF(OR(G13="",I13=""),"",SUM(BuildingsTable[[#This Row],[Direct]:[Indirect WTT]]))</f>
        <v/>
      </c>
      <c r="K13" s="122"/>
      <c r="L13" s="214" t="str">
        <f t="array" ref="L13">IF(OR($C13="",$E13=""),"",(INDEX('Emission factors'!$K$3:$V$201,MATCH('Buildings, Fleet &amp; Equipment'!$C13&amp;$D13,'Emission factors'!$J$3:$J$201&amp;'Emission factors'!$K$3:$K$201,0),MATCH('Buildings, Fleet &amp; Equipment'!L$7,'Emission factors'!$K$2:$V$2,0)))*$G13)</f>
        <v/>
      </c>
      <c r="M13" s="214" t="str">
        <f t="array" ref="M13">IF(OR($C13="",$E13=""),"",(INDEX('Emission factors'!$K$3:$V$201,MATCH('Buildings, Fleet &amp; Equipment'!$C13&amp;$D13,'Emission factors'!$J$3:$J$201&amp;'Emission factors'!$K$3:$K$201,0),MATCH('Buildings, Fleet &amp; Equipment'!M$7,'Emission factors'!$K$2:$V$2,0)))*$G13)</f>
        <v/>
      </c>
      <c r="N13" s="214" t="str">
        <f t="array" ref="N13">IF(OR($C13="",$E13=""),"",(INDEX('Emission factors'!$K$3:$V$201,MATCH('Buildings, Fleet &amp; Equipment'!$C13&amp;$D13,'Emission factors'!$J$3:$J$201&amp;'Emission factors'!$K$3:$K$201,0),MATCH('Buildings, Fleet &amp; Equipment'!N$7,'Emission factors'!$K$2:$V$2,0)))*$G13)</f>
        <v/>
      </c>
      <c r="O13" s="214" t="str">
        <f t="array" ref="O13">IF(OR($C13="",$E13=""),"",(INDEX('Emission factors'!$K$3:$V$201,MATCH('Buildings, Fleet &amp; Equipment'!$C13&amp;$D13,'Emission factors'!$J$3:$J$201&amp;'Emission factors'!$K$3:$K$201,0),MATCH('Buildings, Fleet &amp; Equipment'!O$7,'Emission factors'!$K$2:$V$2,0)))*$G13)</f>
        <v/>
      </c>
      <c r="P13" s="214" t="str">
        <f t="array" ref="P13">IF(OR($C13="",$E13=""),"",(INDEX('Emission factors'!$K$3:$V$201,MATCH('Buildings, Fleet &amp; Equipment'!$C13&amp;$D13,'Emission factors'!$J$3:$J$201&amp;'Emission factors'!$K$3:$K$201,0),MATCH('Buildings, Fleet &amp; Equipment'!P$7,'Emission factors'!$K$2:$V$2,0)))*$G13)</f>
        <v/>
      </c>
      <c r="Q13" s="54"/>
    </row>
    <row r="14" spans="1:22" s="1" customFormat="1" ht="15.75" thickBot="1" x14ac:dyDescent="0.3">
      <c r="A14" s="148"/>
      <c r="B14" s="126"/>
      <c r="C14" s="123"/>
      <c r="D14" s="123"/>
      <c r="E14" s="120"/>
      <c r="F14" s="123"/>
      <c r="G14" s="125" t="str">
        <f t="array" ref="G14">IF(OR($C14="",$B14="",$E14="",$F14=""),"",IF(F14=H14,E14,(INDEX('Emission factors'!$K$3:$V$201,MATCH(C14&amp;D14,'Emission factors'!$J$3:$J$201&amp;'Emission factors'!$K$3:$K$201,0),MATCH(G$7,'Emission factors'!$K$2:$V$2,0)))*E14))</f>
        <v/>
      </c>
      <c r="H14" s="29" t="str">
        <f>IF(OR($C14="",$B14="",$E14="",$F14=""),"",INDEX('Emission factors'!$K$3:$V$201,MATCH('Buildings, Fleet &amp; Equipment'!$C14,'Emission factors'!$J$3:$J$201,0),MATCH($H$7,'Emission factors'!$K$2:$V$2,0)))</f>
        <v/>
      </c>
      <c r="I14" s="149" t="str">
        <f t="array" ref="I14">IF(OR(C14="",E14="",BuildingsTable[[#This Row],[Units]]=""),"",INDEX('Emission factors'!$K$3:$V$201,MATCH('Buildings, Fleet &amp; Equipment'!$C14&amp;D14,'Emission factors'!$J$3:$J$201&amp;'Emission factors'!$K$3:$K$201,0),MATCH('Buildings, Fleet &amp; Equipment'!$I$7,'Emission factors'!$K$2:$V$2,0)))</f>
        <v/>
      </c>
      <c r="J14" s="213" t="str">
        <f>IF(OR(G14="",I14=""),"",SUM(BuildingsTable[[#This Row],[Direct]:[Indirect WTT]]))</f>
        <v/>
      </c>
      <c r="K14" s="122"/>
      <c r="L14" s="214" t="str">
        <f t="array" ref="L14">IF(OR($C14="",$E14=""),"",(INDEX('Emission factors'!$K$3:$V$201,MATCH('Buildings, Fleet &amp; Equipment'!$C14&amp;$D14,'Emission factors'!$J$3:$J$201&amp;'Emission factors'!$K$3:$K$201,0),MATCH('Buildings, Fleet &amp; Equipment'!L$7,'Emission factors'!$K$2:$V$2,0)))*$G14)</f>
        <v/>
      </c>
      <c r="M14" s="214" t="str">
        <f t="array" ref="M14">IF(OR($C14="",$E14=""),"",(INDEX('Emission factors'!$K$3:$V$201,MATCH('Buildings, Fleet &amp; Equipment'!$C14&amp;$D14,'Emission factors'!$J$3:$J$201&amp;'Emission factors'!$K$3:$K$201,0),MATCH('Buildings, Fleet &amp; Equipment'!M$7,'Emission factors'!$K$2:$V$2,0)))*$G14)</f>
        <v/>
      </c>
      <c r="N14" s="214" t="str">
        <f t="array" ref="N14">IF(OR($C14="",$E14=""),"",(INDEX('Emission factors'!$K$3:$V$201,MATCH('Buildings, Fleet &amp; Equipment'!$C14&amp;$D14,'Emission factors'!$J$3:$J$201&amp;'Emission factors'!$K$3:$K$201,0),MATCH('Buildings, Fleet &amp; Equipment'!N$7,'Emission factors'!$K$2:$V$2,0)))*$G14)</f>
        <v/>
      </c>
      <c r="O14" s="214" t="str">
        <f t="array" ref="O14">IF(OR($C14="",$E14=""),"",(INDEX('Emission factors'!$K$3:$V$201,MATCH('Buildings, Fleet &amp; Equipment'!$C14&amp;$D14,'Emission factors'!$J$3:$J$201&amp;'Emission factors'!$K$3:$K$201,0),MATCH('Buildings, Fleet &amp; Equipment'!O$7,'Emission factors'!$K$2:$V$2,0)))*$G14)</f>
        <v/>
      </c>
      <c r="P14" s="214" t="str">
        <f t="array" ref="P14">IF(OR($C14="",$E14=""),"",(INDEX('Emission factors'!$K$3:$V$201,MATCH('Buildings, Fleet &amp; Equipment'!$C14&amp;$D14,'Emission factors'!$J$3:$J$201&amp;'Emission factors'!$K$3:$K$201,0),MATCH('Buildings, Fleet &amp; Equipment'!P$7,'Emission factors'!$K$2:$V$2,0)))*$G14)</f>
        <v/>
      </c>
      <c r="Q14" s="54"/>
    </row>
    <row r="15" spans="1:22" s="1" customFormat="1" ht="15.75" thickBot="1" x14ac:dyDescent="0.3">
      <c r="A15" s="148"/>
      <c r="B15" s="126"/>
      <c r="C15" s="123"/>
      <c r="D15" s="123"/>
      <c r="E15" s="120"/>
      <c r="F15" s="123"/>
      <c r="G15" s="125" t="str">
        <f t="array" ref="G15">IF(OR($C15="",$B15="",$E15="",$F15=""),"",IF(F15=H15,E15,(INDEX('Emission factors'!$K$3:$V$201,MATCH(C15&amp;D15,'Emission factors'!$J$3:$J$201&amp;'Emission factors'!$K$3:$K$201,0),MATCH(G$7,'Emission factors'!$K$2:$V$2,0)))*E15))</f>
        <v/>
      </c>
      <c r="H15" s="29" t="str">
        <f>IF(OR($C15="",$B15="",$E15="",$F15=""),"",INDEX('Emission factors'!$K$3:$V$201,MATCH('Buildings, Fleet &amp; Equipment'!$C15,'Emission factors'!$J$3:$J$201,0),MATCH($H$7,'Emission factors'!$K$2:$V$2,0)))</f>
        <v/>
      </c>
      <c r="I15" s="149" t="str">
        <f t="array" ref="I15">IF(OR(C15="",E15="",BuildingsTable[[#This Row],[Units]]=""),"",INDEX('Emission factors'!$K$3:$V$201,MATCH('Buildings, Fleet &amp; Equipment'!$C15&amp;D15,'Emission factors'!$J$3:$J$201&amp;'Emission factors'!$K$3:$K$201,0),MATCH('Buildings, Fleet &amp; Equipment'!$I$7,'Emission factors'!$K$2:$V$2,0)))</f>
        <v/>
      </c>
      <c r="J15" s="213" t="str">
        <f>IF(OR(G15="",I15=""),"",SUM(BuildingsTable[[#This Row],[Direct]:[Indirect WTT]]))</f>
        <v/>
      </c>
      <c r="K15" s="122"/>
      <c r="L15" s="214" t="str">
        <f t="array" ref="L15">IF(OR($C15="",$E15=""),"",(INDEX('Emission factors'!$K$3:$V$201,MATCH('Buildings, Fleet &amp; Equipment'!$C15&amp;$D15,'Emission factors'!$J$3:$J$201&amp;'Emission factors'!$K$3:$K$201,0),MATCH('Buildings, Fleet &amp; Equipment'!L$7,'Emission factors'!$K$2:$V$2,0)))*$G15)</f>
        <v/>
      </c>
      <c r="M15" s="214" t="str">
        <f t="array" ref="M15">IF(OR($C15="",$E15=""),"",(INDEX('Emission factors'!$K$3:$V$201,MATCH('Buildings, Fleet &amp; Equipment'!$C15&amp;$D15,'Emission factors'!$J$3:$J$201&amp;'Emission factors'!$K$3:$K$201,0),MATCH('Buildings, Fleet &amp; Equipment'!M$7,'Emission factors'!$K$2:$V$2,0)))*$G15)</f>
        <v/>
      </c>
      <c r="N15" s="214" t="str">
        <f t="array" ref="N15">IF(OR($C15="",$E15=""),"",(INDEX('Emission factors'!$K$3:$V$201,MATCH('Buildings, Fleet &amp; Equipment'!$C15&amp;$D15,'Emission factors'!$J$3:$J$201&amp;'Emission factors'!$K$3:$K$201,0),MATCH('Buildings, Fleet &amp; Equipment'!N$7,'Emission factors'!$K$2:$V$2,0)))*$G15)</f>
        <v/>
      </c>
      <c r="O15" s="214" t="str">
        <f t="array" ref="O15">IF(OR($C15="",$E15=""),"",(INDEX('Emission factors'!$K$3:$V$201,MATCH('Buildings, Fleet &amp; Equipment'!$C15&amp;$D15,'Emission factors'!$J$3:$J$201&amp;'Emission factors'!$K$3:$K$201,0),MATCH('Buildings, Fleet &amp; Equipment'!O$7,'Emission factors'!$K$2:$V$2,0)))*$G15)</f>
        <v/>
      </c>
      <c r="P15" s="214" t="str">
        <f t="array" ref="P15">IF(OR($C15="",$E15=""),"",(INDEX('Emission factors'!$K$3:$V$201,MATCH('Buildings, Fleet &amp; Equipment'!$C15&amp;$D15,'Emission factors'!$J$3:$J$201&amp;'Emission factors'!$K$3:$K$201,0),MATCH('Buildings, Fleet &amp; Equipment'!P$7,'Emission factors'!$K$2:$V$2,0)))*$G15)</f>
        <v/>
      </c>
      <c r="Q15" s="54"/>
    </row>
    <row r="16" spans="1:22" s="1" customFormat="1" ht="15.75" thickBot="1" x14ac:dyDescent="0.3">
      <c r="A16" s="148"/>
      <c r="B16" s="126"/>
      <c r="C16" s="123"/>
      <c r="D16" s="123"/>
      <c r="E16" s="120"/>
      <c r="F16" s="123"/>
      <c r="G16" s="125" t="str">
        <f t="array" ref="G16">IF(OR($C16="",$B16="",$E16="",$F16=""),"",IF(F16=H16,E16,(INDEX('Emission factors'!$K$3:$V$201,MATCH(C16&amp;D16,'Emission factors'!$J$3:$J$201&amp;'Emission factors'!$K$3:$K$201,0),MATCH(G$7,'Emission factors'!$K$2:$V$2,0)))*E16))</f>
        <v/>
      </c>
      <c r="H16" s="29" t="str">
        <f>IF(OR($C16="",$B16="",$E16="",$F16=""),"",INDEX('Emission factors'!$K$3:$V$201,MATCH('Buildings, Fleet &amp; Equipment'!$C16,'Emission factors'!$J$3:$J$201,0),MATCH($H$7,'Emission factors'!$K$2:$V$2,0)))</f>
        <v/>
      </c>
      <c r="I16" s="149" t="str">
        <f t="array" ref="I16">IF(OR(C16="",E16="",BuildingsTable[[#This Row],[Units]]=""),"",INDEX('Emission factors'!$K$3:$V$201,MATCH('Buildings, Fleet &amp; Equipment'!$C16&amp;D16,'Emission factors'!$J$3:$J$201&amp;'Emission factors'!$K$3:$K$201,0),MATCH('Buildings, Fleet &amp; Equipment'!$I$7,'Emission factors'!$K$2:$V$2,0)))</f>
        <v/>
      </c>
      <c r="J16" s="213" t="str">
        <f>IF(OR(G16="",I16=""),"",SUM(BuildingsTable[[#This Row],[Direct]:[Indirect WTT]]))</f>
        <v/>
      </c>
      <c r="K16" s="122"/>
      <c r="L16" s="214" t="str">
        <f t="array" ref="L16">IF(OR($C16="",$E16=""),"",(INDEX('Emission factors'!$K$3:$V$201,MATCH('Buildings, Fleet &amp; Equipment'!$C16&amp;$D16,'Emission factors'!$J$3:$J$201&amp;'Emission factors'!$K$3:$K$201,0),MATCH('Buildings, Fleet &amp; Equipment'!L$7,'Emission factors'!$K$2:$V$2,0)))*$G16)</f>
        <v/>
      </c>
      <c r="M16" s="214" t="str">
        <f t="array" ref="M16">IF(OR($C16="",$E16=""),"",(INDEX('Emission factors'!$K$3:$V$201,MATCH('Buildings, Fleet &amp; Equipment'!$C16&amp;$D16,'Emission factors'!$J$3:$J$201&amp;'Emission factors'!$K$3:$K$201,0),MATCH('Buildings, Fleet &amp; Equipment'!M$7,'Emission factors'!$K$2:$V$2,0)))*$G16)</f>
        <v/>
      </c>
      <c r="N16" s="214" t="str">
        <f t="array" ref="N16">IF(OR($C16="",$E16=""),"",(INDEX('Emission factors'!$K$3:$V$201,MATCH('Buildings, Fleet &amp; Equipment'!$C16&amp;$D16,'Emission factors'!$J$3:$J$201&amp;'Emission factors'!$K$3:$K$201,0),MATCH('Buildings, Fleet &amp; Equipment'!N$7,'Emission factors'!$K$2:$V$2,0)))*$G16)</f>
        <v/>
      </c>
      <c r="O16" s="214" t="str">
        <f t="array" ref="O16">IF(OR($C16="",$E16=""),"",(INDEX('Emission factors'!$K$3:$V$201,MATCH('Buildings, Fleet &amp; Equipment'!$C16&amp;$D16,'Emission factors'!$J$3:$J$201&amp;'Emission factors'!$K$3:$K$201,0),MATCH('Buildings, Fleet &amp; Equipment'!O$7,'Emission factors'!$K$2:$V$2,0)))*$G16)</f>
        <v/>
      </c>
      <c r="P16" s="214" t="str">
        <f t="array" ref="P16">IF(OR($C16="",$E16=""),"",(INDEX('Emission factors'!$K$3:$V$201,MATCH('Buildings, Fleet &amp; Equipment'!$C16&amp;$D16,'Emission factors'!$J$3:$J$201&amp;'Emission factors'!$K$3:$K$201,0),MATCH('Buildings, Fleet &amp; Equipment'!P$7,'Emission factors'!$K$2:$V$2,0)))*$G16)</f>
        <v/>
      </c>
      <c r="Q16" s="54"/>
    </row>
    <row r="17" spans="1:17" s="1" customFormat="1" ht="15.75" thickBot="1" x14ac:dyDescent="0.3">
      <c r="A17" s="148"/>
      <c r="B17" s="126"/>
      <c r="C17" s="123"/>
      <c r="D17" s="123"/>
      <c r="E17" s="120"/>
      <c r="F17" s="123"/>
      <c r="G17" s="125" t="str">
        <f t="array" ref="G17">IF(OR($C17="",$B17="",$E17="",$F17=""),"",IF(F17=H17,E17,(INDEX('Emission factors'!$K$3:$V$201,MATCH(C17&amp;D17,'Emission factors'!$J$3:$J$201&amp;'Emission factors'!$K$3:$K$201,0),MATCH(G$7,'Emission factors'!$K$2:$V$2,0)))*E17))</f>
        <v/>
      </c>
      <c r="H17" s="29" t="str">
        <f>IF(OR($C17="",$B17="",$E17="",$F17=""),"",INDEX('Emission factors'!$K$3:$V$201,MATCH('Buildings, Fleet &amp; Equipment'!$C17,'Emission factors'!$J$3:$J$201,0),MATCH($H$7,'Emission factors'!$K$2:$V$2,0)))</f>
        <v/>
      </c>
      <c r="I17" s="149" t="str">
        <f t="array" ref="I17">IF(OR(C17="",E17="",BuildingsTable[[#This Row],[Units]]=""),"",INDEX('Emission factors'!$K$3:$V$201,MATCH('Buildings, Fleet &amp; Equipment'!$C17&amp;D17,'Emission factors'!$J$3:$J$201&amp;'Emission factors'!$K$3:$K$201,0),MATCH('Buildings, Fleet &amp; Equipment'!$I$7,'Emission factors'!$K$2:$V$2,0)))</f>
        <v/>
      </c>
      <c r="J17" s="213" t="str">
        <f>IF(OR(G17="",I17=""),"",SUM(BuildingsTable[[#This Row],[Direct]:[Indirect WTT]]))</f>
        <v/>
      </c>
      <c r="K17" s="122"/>
      <c r="L17" s="214" t="str">
        <f t="array" ref="L17">IF(OR($C17="",$E17=""),"",(INDEX('Emission factors'!$K$3:$V$201,MATCH('Buildings, Fleet &amp; Equipment'!$C17&amp;$D17,'Emission factors'!$J$3:$J$201&amp;'Emission factors'!$K$3:$K$201,0),MATCH('Buildings, Fleet &amp; Equipment'!L$7,'Emission factors'!$K$2:$V$2,0)))*$G17)</f>
        <v/>
      </c>
      <c r="M17" s="214" t="str">
        <f t="array" ref="M17">IF(OR($C17="",$E17=""),"",(INDEX('Emission factors'!$K$3:$V$201,MATCH('Buildings, Fleet &amp; Equipment'!$C17&amp;$D17,'Emission factors'!$J$3:$J$201&amp;'Emission factors'!$K$3:$K$201,0),MATCH('Buildings, Fleet &amp; Equipment'!M$7,'Emission factors'!$K$2:$V$2,0)))*$G17)</f>
        <v/>
      </c>
      <c r="N17" s="214" t="str">
        <f t="array" ref="N17">IF(OR($C17="",$E17=""),"",(INDEX('Emission factors'!$K$3:$V$201,MATCH('Buildings, Fleet &amp; Equipment'!$C17&amp;$D17,'Emission factors'!$J$3:$J$201&amp;'Emission factors'!$K$3:$K$201,0),MATCH('Buildings, Fleet &amp; Equipment'!N$7,'Emission factors'!$K$2:$V$2,0)))*$G17)</f>
        <v/>
      </c>
      <c r="O17" s="214" t="str">
        <f t="array" ref="O17">IF(OR($C17="",$E17=""),"",(INDEX('Emission factors'!$K$3:$V$201,MATCH('Buildings, Fleet &amp; Equipment'!$C17&amp;$D17,'Emission factors'!$J$3:$J$201&amp;'Emission factors'!$K$3:$K$201,0),MATCH('Buildings, Fleet &amp; Equipment'!O$7,'Emission factors'!$K$2:$V$2,0)))*$G17)</f>
        <v/>
      </c>
      <c r="P17" s="214" t="str">
        <f t="array" ref="P17">IF(OR($C17="",$E17=""),"",(INDEX('Emission factors'!$K$3:$V$201,MATCH('Buildings, Fleet &amp; Equipment'!$C17&amp;$D17,'Emission factors'!$J$3:$J$201&amp;'Emission factors'!$K$3:$K$201,0),MATCH('Buildings, Fleet &amp; Equipment'!P$7,'Emission factors'!$K$2:$V$2,0)))*$G17)</f>
        <v/>
      </c>
      <c r="Q17" s="54"/>
    </row>
    <row r="18" spans="1:17" s="1" customFormat="1" ht="15.75" thickBot="1" x14ac:dyDescent="0.3">
      <c r="A18" s="148"/>
      <c r="B18" s="126"/>
      <c r="C18" s="123"/>
      <c r="D18" s="123"/>
      <c r="E18" s="120"/>
      <c r="F18" s="123"/>
      <c r="G18" s="125" t="str">
        <f t="array" ref="G18">IF(OR($C18="",$B18="",$E18="",$F18=""),"",IF(F18=H18,E18,(INDEX('Emission factors'!$K$3:$V$201,MATCH(C18&amp;D18,'Emission factors'!$J$3:$J$201&amp;'Emission factors'!$K$3:$K$201,0),MATCH(G$7,'Emission factors'!$K$2:$V$2,0)))*E18))</f>
        <v/>
      </c>
      <c r="H18" s="29" t="str">
        <f>IF(OR($C18="",$B18="",$E18="",$F18=""),"",INDEX('Emission factors'!$K$3:$V$201,MATCH('Buildings, Fleet &amp; Equipment'!$C18,'Emission factors'!$J$3:$J$201,0),MATCH($H$7,'Emission factors'!$K$2:$V$2,0)))</f>
        <v/>
      </c>
      <c r="I18" s="149" t="str">
        <f t="array" ref="I18">IF(OR(C18="",E18="",BuildingsTable[[#This Row],[Units]]=""),"",INDEX('Emission factors'!$K$3:$V$201,MATCH('Buildings, Fleet &amp; Equipment'!$C18&amp;D18,'Emission factors'!$J$3:$J$201&amp;'Emission factors'!$K$3:$K$201,0),MATCH('Buildings, Fleet &amp; Equipment'!$I$7,'Emission factors'!$K$2:$V$2,0)))</f>
        <v/>
      </c>
      <c r="J18" s="213" t="str">
        <f>IF(OR(G18="",I18=""),"",SUM(BuildingsTable[[#This Row],[Direct]:[Indirect WTT]]))</f>
        <v/>
      </c>
      <c r="K18" s="122"/>
      <c r="L18" s="214" t="str">
        <f t="array" ref="L18">IF(OR($C18="",$E18=""),"",(INDEX('Emission factors'!$K$3:$V$201,MATCH('Buildings, Fleet &amp; Equipment'!$C18&amp;$D18,'Emission factors'!$J$3:$J$201&amp;'Emission factors'!$K$3:$K$201,0),MATCH('Buildings, Fleet &amp; Equipment'!L$7,'Emission factors'!$K$2:$V$2,0)))*$G18)</f>
        <v/>
      </c>
      <c r="M18" s="214" t="str">
        <f t="array" ref="M18">IF(OR($C18="",$E18=""),"",(INDEX('Emission factors'!$K$3:$V$201,MATCH('Buildings, Fleet &amp; Equipment'!$C18&amp;$D18,'Emission factors'!$J$3:$J$201&amp;'Emission factors'!$K$3:$K$201,0),MATCH('Buildings, Fleet &amp; Equipment'!M$7,'Emission factors'!$K$2:$V$2,0)))*$G18)</f>
        <v/>
      </c>
      <c r="N18" s="214" t="str">
        <f t="array" ref="N18">IF(OR($C18="",$E18=""),"",(INDEX('Emission factors'!$K$3:$V$201,MATCH('Buildings, Fleet &amp; Equipment'!$C18&amp;$D18,'Emission factors'!$J$3:$J$201&amp;'Emission factors'!$K$3:$K$201,0),MATCH('Buildings, Fleet &amp; Equipment'!N$7,'Emission factors'!$K$2:$V$2,0)))*$G18)</f>
        <v/>
      </c>
      <c r="O18" s="214" t="str">
        <f t="array" ref="O18">IF(OR($C18="",$E18=""),"",(INDEX('Emission factors'!$K$3:$V$201,MATCH('Buildings, Fleet &amp; Equipment'!$C18&amp;$D18,'Emission factors'!$J$3:$J$201&amp;'Emission factors'!$K$3:$K$201,0),MATCH('Buildings, Fleet &amp; Equipment'!O$7,'Emission factors'!$K$2:$V$2,0)))*$G18)</f>
        <v/>
      </c>
      <c r="P18" s="214" t="str">
        <f t="array" ref="P18">IF(OR($C18="",$E18=""),"",(INDEX('Emission factors'!$K$3:$V$201,MATCH('Buildings, Fleet &amp; Equipment'!$C18&amp;$D18,'Emission factors'!$J$3:$J$201&amp;'Emission factors'!$K$3:$K$201,0),MATCH('Buildings, Fleet &amp; Equipment'!P$7,'Emission factors'!$K$2:$V$2,0)))*$G18)</f>
        <v/>
      </c>
      <c r="Q18" s="54"/>
    </row>
    <row r="19" spans="1:17" s="1" customFormat="1" ht="15.75" thickBot="1" x14ac:dyDescent="0.3">
      <c r="A19" s="148"/>
      <c r="B19" s="126"/>
      <c r="C19" s="123"/>
      <c r="D19" s="123"/>
      <c r="E19" s="120"/>
      <c r="F19" s="123"/>
      <c r="G19" s="125" t="str">
        <f t="array" ref="G19">IF(OR($C19="",$B19="",$E19="",$F19=""),"",IF(F19=H19,E19,(INDEX('Emission factors'!$K$3:$V$201,MATCH(C19&amp;D19,'Emission factors'!$J$3:$J$201&amp;'Emission factors'!$K$3:$K$201,0),MATCH(G$7,'Emission factors'!$K$2:$V$2,0)))*E19))</f>
        <v/>
      </c>
      <c r="H19" s="29" t="str">
        <f>IF(OR($C19="",$B19="",$E19="",$F19=""),"",INDEX('Emission factors'!$K$3:$V$201,MATCH('Buildings, Fleet &amp; Equipment'!$C19,'Emission factors'!$J$3:$J$201,0),MATCH($H$7,'Emission factors'!$K$2:$V$2,0)))</f>
        <v/>
      </c>
      <c r="I19" s="149" t="str">
        <f t="array" ref="I19">IF(OR(C19="",E19="",BuildingsTable[[#This Row],[Units]]=""),"",INDEX('Emission factors'!$K$3:$V$201,MATCH('Buildings, Fleet &amp; Equipment'!$C19&amp;D19,'Emission factors'!$J$3:$J$201&amp;'Emission factors'!$K$3:$K$201,0),MATCH('Buildings, Fleet &amp; Equipment'!$I$7,'Emission factors'!$K$2:$V$2,0)))</f>
        <v/>
      </c>
      <c r="J19" s="213" t="str">
        <f>IF(OR(G19="",I19=""),"",SUM(BuildingsTable[[#This Row],[Direct]:[Indirect WTT]]))</f>
        <v/>
      </c>
      <c r="K19" s="122"/>
      <c r="L19" s="214" t="str">
        <f t="array" ref="L19">IF(OR($C19="",$E19=""),"",(INDEX('Emission factors'!$K$3:$V$201,MATCH('Buildings, Fleet &amp; Equipment'!$C19&amp;$D19,'Emission factors'!$J$3:$J$201&amp;'Emission factors'!$K$3:$K$201,0),MATCH('Buildings, Fleet &amp; Equipment'!L$7,'Emission factors'!$K$2:$V$2,0)))*$G19)</f>
        <v/>
      </c>
      <c r="M19" s="214" t="str">
        <f t="array" ref="M19">IF(OR($C19="",$E19=""),"",(INDEX('Emission factors'!$K$3:$V$201,MATCH('Buildings, Fleet &amp; Equipment'!$C19&amp;$D19,'Emission factors'!$J$3:$J$201&amp;'Emission factors'!$K$3:$K$201,0),MATCH('Buildings, Fleet &amp; Equipment'!M$7,'Emission factors'!$K$2:$V$2,0)))*$G19)</f>
        <v/>
      </c>
      <c r="N19" s="214" t="str">
        <f t="array" ref="N19">IF(OR($C19="",$E19=""),"",(INDEX('Emission factors'!$K$3:$V$201,MATCH('Buildings, Fleet &amp; Equipment'!$C19&amp;$D19,'Emission factors'!$J$3:$J$201&amp;'Emission factors'!$K$3:$K$201,0),MATCH('Buildings, Fleet &amp; Equipment'!N$7,'Emission factors'!$K$2:$V$2,0)))*$G19)</f>
        <v/>
      </c>
      <c r="O19" s="214" t="str">
        <f t="array" ref="O19">IF(OR($C19="",$E19=""),"",(INDEX('Emission factors'!$K$3:$V$201,MATCH('Buildings, Fleet &amp; Equipment'!$C19&amp;$D19,'Emission factors'!$J$3:$J$201&amp;'Emission factors'!$K$3:$K$201,0),MATCH('Buildings, Fleet &amp; Equipment'!O$7,'Emission factors'!$K$2:$V$2,0)))*$G19)</f>
        <v/>
      </c>
      <c r="P19" s="214" t="str">
        <f t="array" ref="P19">IF(OR($C19="",$E19=""),"",(INDEX('Emission factors'!$K$3:$V$201,MATCH('Buildings, Fleet &amp; Equipment'!$C19&amp;$D19,'Emission factors'!$J$3:$J$201&amp;'Emission factors'!$K$3:$K$201,0),MATCH('Buildings, Fleet &amp; Equipment'!P$7,'Emission factors'!$K$2:$V$2,0)))*$G19)</f>
        <v/>
      </c>
      <c r="Q19" s="54"/>
    </row>
    <row r="20" spans="1:17" s="1" customFormat="1" ht="15.75" thickBot="1" x14ac:dyDescent="0.3">
      <c r="A20" s="148"/>
      <c r="B20" s="126"/>
      <c r="C20" s="123"/>
      <c r="D20" s="123"/>
      <c r="E20" s="120"/>
      <c r="F20" s="123"/>
      <c r="G20" s="125" t="str">
        <f t="array" ref="G20">IF(OR($C20="",$B20="",$E20="",$F20=""),"",IF(F20=H20,E20,(INDEX('Emission factors'!$K$3:$V$201,MATCH(C20&amp;D20,'Emission factors'!$J$3:$J$201&amp;'Emission factors'!$K$3:$K$201,0),MATCH(G$7,'Emission factors'!$K$2:$V$2,0)))*E20))</f>
        <v/>
      </c>
      <c r="H20" s="29" t="str">
        <f>IF(OR($C20="",$B20="",$E20="",$F20=""),"",INDEX('Emission factors'!$K$3:$V$201,MATCH('Buildings, Fleet &amp; Equipment'!$C20,'Emission factors'!$J$3:$J$201,0),MATCH($H$7,'Emission factors'!$K$2:$V$2,0)))</f>
        <v/>
      </c>
      <c r="I20" s="149" t="str">
        <f t="array" ref="I20">IF(OR(C20="",E20="",BuildingsTable[[#This Row],[Units]]=""),"",INDEX('Emission factors'!$K$3:$V$201,MATCH('Buildings, Fleet &amp; Equipment'!$C20&amp;D20,'Emission factors'!$J$3:$J$201&amp;'Emission factors'!$K$3:$K$201,0),MATCH('Buildings, Fleet &amp; Equipment'!$I$7,'Emission factors'!$K$2:$V$2,0)))</f>
        <v/>
      </c>
      <c r="J20" s="213" t="str">
        <f>IF(OR(G20="",I20=""),"",SUM(BuildingsTable[[#This Row],[Direct]:[Indirect WTT]]))</f>
        <v/>
      </c>
      <c r="K20" s="122"/>
      <c r="L20" s="214" t="str">
        <f t="array" ref="L20">IF(OR($C20="",$E20=""),"",(INDEX('Emission factors'!$K$3:$V$201,MATCH('Buildings, Fleet &amp; Equipment'!$C20&amp;$D20,'Emission factors'!$J$3:$J$201&amp;'Emission factors'!$K$3:$K$201,0),MATCH('Buildings, Fleet &amp; Equipment'!L$7,'Emission factors'!$K$2:$V$2,0)))*$G20)</f>
        <v/>
      </c>
      <c r="M20" s="214" t="str">
        <f t="array" ref="M20">IF(OR($C20="",$E20=""),"",(INDEX('Emission factors'!$K$3:$V$201,MATCH('Buildings, Fleet &amp; Equipment'!$C20&amp;$D20,'Emission factors'!$J$3:$J$201&amp;'Emission factors'!$K$3:$K$201,0),MATCH('Buildings, Fleet &amp; Equipment'!M$7,'Emission factors'!$K$2:$V$2,0)))*$G20)</f>
        <v/>
      </c>
      <c r="N20" s="214" t="str">
        <f t="array" ref="N20">IF(OR($C20="",$E20=""),"",(INDEX('Emission factors'!$K$3:$V$201,MATCH('Buildings, Fleet &amp; Equipment'!$C20&amp;$D20,'Emission factors'!$J$3:$J$201&amp;'Emission factors'!$K$3:$K$201,0),MATCH('Buildings, Fleet &amp; Equipment'!N$7,'Emission factors'!$K$2:$V$2,0)))*$G20)</f>
        <v/>
      </c>
      <c r="O20" s="214" t="str">
        <f t="array" ref="O20">IF(OR($C20="",$E20=""),"",(INDEX('Emission factors'!$K$3:$V$201,MATCH('Buildings, Fleet &amp; Equipment'!$C20&amp;$D20,'Emission factors'!$J$3:$J$201&amp;'Emission factors'!$K$3:$K$201,0),MATCH('Buildings, Fleet &amp; Equipment'!O$7,'Emission factors'!$K$2:$V$2,0)))*$G20)</f>
        <v/>
      </c>
      <c r="P20" s="214" t="str">
        <f t="array" ref="P20">IF(OR($C20="",$E20=""),"",(INDEX('Emission factors'!$K$3:$V$201,MATCH('Buildings, Fleet &amp; Equipment'!$C20&amp;$D20,'Emission factors'!$J$3:$J$201&amp;'Emission factors'!$K$3:$K$201,0),MATCH('Buildings, Fleet &amp; Equipment'!P$7,'Emission factors'!$K$2:$V$2,0)))*$G20)</f>
        <v/>
      </c>
      <c r="Q20" s="54"/>
    </row>
    <row r="21" spans="1:17" s="1" customFormat="1" ht="15.75" thickBot="1" x14ac:dyDescent="0.3">
      <c r="A21" s="148"/>
      <c r="B21" s="126"/>
      <c r="C21" s="123"/>
      <c r="D21" s="123"/>
      <c r="E21" s="120"/>
      <c r="F21" s="123"/>
      <c r="G21" s="125" t="str">
        <f t="array" ref="G21">IF(OR($C21="",$B21="",$E21="",$F21=""),"",IF(F21=H21,E21,(INDEX('Emission factors'!$K$3:$V$201,MATCH(C21&amp;D21,'Emission factors'!$J$3:$J$201&amp;'Emission factors'!$K$3:$K$201,0),MATCH(G$7,'Emission factors'!$K$2:$V$2,0)))*E21))</f>
        <v/>
      </c>
      <c r="H21" s="29" t="str">
        <f>IF(OR($C21="",$B21="",$E21="",$F21=""),"",INDEX('Emission factors'!$K$3:$V$201,MATCH('Buildings, Fleet &amp; Equipment'!$C21,'Emission factors'!$J$3:$J$201,0),MATCH($H$7,'Emission factors'!$K$2:$V$2,0)))</f>
        <v/>
      </c>
      <c r="I21" s="149" t="str">
        <f t="array" ref="I21">IF(OR(C21="",E21="",BuildingsTable[[#This Row],[Units]]=""),"",INDEX('Emission factors'!$K$3:$V$201,MATCH('Buildings, Fleet &amp; Equipment'!$C21&amp;D21,'Emission factors'!$J$3:$J$201&amp;'Emission factors'!$K$3:$K$201,0),MATCH('Buildings, Fleet &amp; Equipment'!$I$7,'Emission factors'!$K$2:$V$2,0)))</f>
        <v/>
      </c>
      <c r="J21" s="213" t="str">
        <f>IF(OR(G21="",I21=""),"",SUM(BuildingsTable[[#This Row],[Direct]:[Indirect WTT]]))</f>
        <v/>
      </c>
      <c r="K21" s="122"/>
      <c r="L21" s="214" t="str">
        <f t="array" ref="L21">IF(OR($C21="",$E21=""),"",(INDEX('Emission factors'!$K$3:$V$201,MATCH('Buildings, Fleet &amp; Equipment'!$C21&amp;$D21,'Emission factors'!$J$3:$J$201&amp;'Emission factors'!$K$3:$K$201,0),MATCH('Buildings, Fleet &amp; Equipment'!L$7,'Emission factors'!$K$2:$V$2,0)))*$G21)</f>
        <v/>
      </c>
      <c r="M21" s="214" t="str">
        <f t="array" ref="M21">IF(OR($C21="",$E21=""),"",(INDEX('Emission factors'!$K$3:$V$201,MATCH('Buildings, Fleet &amp; Equipment'!$C21&amp;$D21,'Emission factors'!$J$3:$J$201&amp;'Emission factors'!$K$3:$K$201,0),MATCH('Buildings, Fleet &amp; Equipment'!M$7,'Emission factors'!$K$2:$V$2,0)))*$G21)</f>
        <v/>
      </c>
      <c r="N21" s="214" t="str">
        <f t="array" ref="N21">IF(OR($C21="",$E21=""),"",(INDEX('Emission factors'!$K$3:$V$201,MATCH('Buildings, Fleet &amp; Equipment'!$C21&amp;$D21,'Emission factors'!$J$3:$J$201&amp;'Emission factors'!$K$3:$K$201,0),MATCH('Buildings, Fleet &amp; Equipment'!N$7,'Emission factors'!$K$2:$V$2,0)))*$G21)</f>
        <v/>
      </c>
      <c r="O21" s="214" t="str">
        <f t="array" ref="O21">IF(OR($C21="",$E21=""),"",(INDEX('Emission factors'!$K$3:$V$201,MATCH('Buildings, Fleet &amp; Equipment'!$C21&amp;$D21,'Emission factors'!$J$3:$J$201&amp;'Emission factors'!$K$3:$K$201,0),MATCH('Buildings, Fleet &amp; Equipment'!O$7,'Emission factors'!$K$2:$V$2,0)))*$G21)</f>
        <v/>
      </c>
      <c r="P21" s="214" t="str">
        <f t="array" ref="P21">IF(OR($C21="",$E21=""),"",(INDEX('Emission factors'!$K$3:$V$201,MATCH('Buildings, Fleet &amp; Equipment'!$C21&amp;$D21,'Emission factors'!$J$3:$J$201&amp;'Emission factors'!$K$3:$K$201,0),MATCH('Buildings, Fleet &amp; Equipment'!P$7,'Emission factors'!$K$2:$V$2,0)))*$G21)</f>
        <v/>
      </c>
      <c r="Q21" s="54"/>
    </row>
    <row r="22" spans="1:17" s="1" customFormat="1" ht="15.75" thickBot="1" x14ac:dyDescent="0.3">
      <c r="A22" s="148"/>
      <c r="B22" s="126"/>
      <c r="C22" s="123"/>
      <c r="D22" s="123"/>
      <c r="E22" s="120"/>
      <c r="F22" s="123"/>
      <c r="G22" s="125" t="str">
        <f t="array" ref="G22">IF(OR($C22="",$B22="",$E22="",$F22=""),"",IF(F22=H22,E22,(INDEX('Emission factors'!$K$3:$V$201,MATCH(C22&amp;D22,'Emission factors'!$J$3:$J$201&amp;'Emission factors'!$K$3:$K$201,0),MATCH(G$7,'Emission factors'!$K$2:$V$2,0)))*E22))</f>
        <v/>
      </c>
      <c r="H22" s="29" t="str">
        <f>IF(OR($C22="",$B22="",$E22="",$F22=""),"",INDEX('Emission factors'!$K$3:$V$201,MATCH('Buildings, Fleet &amp; Equipment'!$C22,'Emission factors'!$J$3:$J$201,0),MATCH($H$7,'Emission factors'!$K$2:$V$2,0)))</f>
        <v/>
      </c>
      <c r="I22" s="149" t="str">
        <f t="array" ref="I22">IF(OR(C22="",E22="",BuildingsTable[[#This Row],[Units]]=""),"",INDEX('Emission factors'!$K$3:$V$201,MATCH('Buildings, Fleet &amp; Equipment'!$C22&amp;D22,'Emission factors'!$J$3:$J$201&amp;'Emission factors'!$K$3:$K$201,0),MATCH('Buildings, Fleet &amp; Equipment'!$I$7,'Emission factors'!$K$2:$V$2,0)))</f>
        <v/>
      </c>
      <c r="J22" s="213" t="str">
        <f>IF(OR(G22="",I22=""),"",SUM(BuildingsTable[[#This Row],[Direct]:[Indirect WTT]]))</f>
        <v/>
      </c>
      <c r="K22" s="122"/>
      <c r="L22" s="214" t="str">
        <f t="array" ref="L22">IF(OR($C22="",$E22=""),"",(INDEX('Emission factors'!$K$3:$V$201,MATCH('Buildings, Fleet &amp; Equipment'!$C22&amp;$D22,'Emission factors'!$J$3:$J$201&amp;'Emission factors'!$K$3:$K$201,0),MATCH('Buildings, Fleet &amp; Equipment'!L$7,'Emission factors'!$K$2:$V$2,0)))*$G22)</f>
        <v/>
      </c>
      <c r="M22" s="214" t="str">
        <f t="array" ref="M22">IF(OR($C22="",$E22=""),"",(INDEX('Emission factors'!$K$3:$V$201,MATCH('Buildings, Fleet &amp; Equipment'!$C22&amp;$D22,'Emission factors'!$J$3:$J$201&amp;'Emission factors'!$K$3:$K$201,0),MATCH('Buildings, Fleet &amp; Equipment'!M$7,'Emission factors'!$K$2:$V$2,0)))*$G22)</f>
        <v/>
      </c>
      <c r="N22" s="214" t="str">
        <f t="array" ref="N22">IF(OR($C22="",$E22=""),"",(INDEX('Emission factors'!$K$3:$V$201,MATCH('Buildings, Fleet &amp; Equipment'!$C22&amp;$D22,'Emission factors'!$J$3:$J$201&amp;'Emission factors'!$K$3:$K$201,0),MATCH('Buildings, Fleet &amp; Equipment'!N$7,'Emission factors'!$K$2:$V$2,0)))*$G22)</f>
        <v/>
      </c>
      <c r="O22" s="214" t="str">
        <f t="array" ref="O22">IF(OR($C22="",$E22=""),"",(INDEX('Emission factors'!$K$3:$V$201,MATCH('Buildings, Fleet &amp; Equipment'!$C22&amp;$D22,'Emission factors'!$J$3:$J$201&amp;'Emission factors'!$K$3:$K$201,0),MATCH('Buildings, Fleet &amp; Equipment'!O$7,'Emission factors'!$K$2:$V$2,0)))*$G22)</f>
        <v/>
      </c>
      <c r="P22" s="214" t="str">
        <f t="array" ref="P22">IF(OR($C22="",$E22=""),"",(INDEX('Emission factors'!$K$3:$V$201,MATCH('Buildings, Fleet &amp; Equipment'!$C22&amp;$D22,'Emission factors'!$J$3:$J$201&amp;'Emission factors'!$K$3:$K$201,0),MATCH('Buildings, Fleet &amp; Equipment'!P$7,'Emission factors'!$K$2:$V$2,0)))*$G22)</f>
        <v/>
      </c>
      <c r="Q22" s="54"/>
    </row>
    <row r="23" spans="1:17" s="1" customFormat="1" ht="15.75" thickBot="1" x14ac:dyDescent="0.3">
      <c r="A23" s="148"/>
      <c r="B23" s="126"/>
      <c r="C23" s="123"/>
      <c r="D23" s="123"/>
      <c r="E23" s="120"/>
      <c r="F23" s="123"/>
      <c r="G23" s="125" t="str">
        <f t="array" ref="G23">IF(OR($C23="",$B23="",$E23="",$F23=""),"",IF(F23=H23,E23,(INDEX('Emission factors'!$K$3:$V$201,MATCH(C23&amp;D23,'Emission factors'!$J$3:$J$201&amp;'Emission factors'!$K$3:$K$201,0),MATCH(G$7,'Emission factors'!$K$2:$V$2,0)))*E23))</f>
        <v/>
      </c>
      <c r="H23" s="29" t="str">
        <f>IF(OR($C23="",$B23="",$E23="",$F23=""),"",INDEX('Emission factors'!$K$3:$V$201,MATCH('Buildings, Fleet &amp; Equipment'!$C23,'Emission factors'!$J$3:$J$201,0),MATCH($H$7,'Emission factors'!$K$2:$V$2,0)))</f>
        <v/>
      </c>
      <c r="I23" s="149" t="str">
        <f t="array" ref="I23">IF(OR(C23="",E23="",BuildingsTable[[#This Row],[Units]]=""),"",INDEX('Emission factors'!$K$3:$V$201,MATCH('Buildings, Fleet &amp; Equipment'!$C23&amp;D23,'Emission factors'!$J$3:$J$201&amp;'Emission factors'!$K$3:$K$201,0),MATCH('Buildings, Fleet &amp; Equipment'!$I$7,'Emission factors'!$K$2:$V$2,0)))</f>
        <v/>
      </c>
      <c r="J23" s="213" t="str">
        <f>IF(OR(G23="",I23=""),"",SUM(BuildingsTable[[#This Row],[Direct]:[Indirect WTT]]))</f>
        <v/>
      </c>
      <c r="K23" s="122"/>
      <c r="L23" s="214" t="str">
        <f t="array" ref="L23">IF(OR($C23="",$E23=""),"",(INDEX('Emission factors'!$K$3:$V$201,MATCH('Buildings, Fleet &amp; Equipment'!$C23&amp;$D23,'Emission factors'!$J$3:$J$201&amp;'Emission factors'!$K$3:$K$201,0),MATCH('Buildings, Fleet &amp; Equipment'!L$7,'Emission factors'!$K$2:$V$2,0)))*$G23)</f>
        <v/>
      </c>
      <c r="M23" s="214" t="str">
        <f t="array" ref="M23">IF(OR($C23="",$E23=""),"",(INDEX('Emission factors'!$K$3:$V$201,MATCH('Buildings, Fleet &amp; Equipment'!$C23&amp;$D23,'Emission factors'!$J$3:$J$201&amp;'Emission factors'!$K$3:$K$201,0),MATCH('Buildings, Fleet &amp; Equipment'!M$7,'Emission factors'!$K$2:$V$2,0)))*$G23)</f>
        <v/>
      </c>
      <c r="N23" s="214" t="str">
        <f t="array" ref="N23">IF(OR($C23="",$E23=""),"",(INDEX('Emission factors'!$K$3:$V$201,MATCH('Buildings, Fleet &amp; Equipment'!$C23&amp;$D23,'Emission factors'!$J$3:$J$201&amp;'Emission factors'!$K$3:$K$201,0),MATCH('Buildings, Fleet &amp; Equipment'!N$7,'Emission factors'!$K$2:$V$2,0)))*$G23)</f>
        <v/>
      </c>
      <c r="O23" s="214" t="str">
        <f t="array" ref="O23">IF(OR($C23="",$E23=""),"",(INDEX('Emission factors'!$K$3:$V$201,MATCH('Buildings, Fleet &amp; Equipment'!$C23&amp;$D23,'Emission factors'!$J$3:$J$201&amp;'Emission factors'!$K$3:$K$201,0),MATCH('Buildings, Fleet &amp; Equipment'!O$7,'Emission factors'!$K$2:$V$2,0)))*$G23)</f>
        <v/>
      </c>
      <c r="P23" s="214" t="str">
        <f t="array" ref="P23">IF(OR($C23="",$E23=""),"",(INDEX('Emission factors'!$K$3:$V$201,MATCH('Buildings, Fleet &amp; Equipment'!$C23&amp;$D23,'Emission factors'!$J$3:$J$201&amp;'Emission factors'!$K$3:$K$201,0),MATCH('Buildings, Fleet &amp; Equipment'!P$7,'Emission factors'!$K$2:$V$2,0)))*$G23)</f>
        <v/>
      </c>
      <c r="Q23" s="54"/>
    </row>
    <row r="24" spans="1:17" s="1" customFormat="1" ht="15.75" thickBot="1" x14ac:dyDescent="0.3">
      <c r="A24" s="148"/>
      <c r="B24" s="126"/>
      <c r="C24" s="123"/>
      <c r="D24" s="123"/>
      <c r="E24" s="120"/>
      <c r="F24" s="123"/>
      <c r="G24" s="125" t="str">
        <f t="array" ref="G24">IF(OR($C24="",$B24="",$E24="",$F24=""),"",IF(F24=H24,E24,(INDEX('Emission factors'!$K$3:$V$201,MATCH(C24&amp;D24,'Emission factors'!$J$3:$J$201&amp;'Emission factors'!$K$3:$K$201,0),MATCH(G$7,'Emission factors'!$K$2:$V$2,0)))*E24))</f>
        <v/>
      </c>
      <c r="H24" s="29" t="str">
        <f>IF(OR($C24="",$B24="",$E24="",$F24=""),"",INDEX('Emission factors'!$K$3:$V$201,MATCH('Buildings, Fleet &amp; Equipment'!$C24,'Emission factors'!$J$3:$J$201,0),MATCH($H$7,'Emission factors'!$K$2:$V$2,0)))</f>
        <v/>
      </c>
      <c r="I24" s="149" t="str">
        <f t="array" ref="I24">IF(OR(C24="",E24="",BuildingsTable[[#This Row],[Units]]=""),"",INDEX('Emission factors'!$K$3:$V$201,MATCH('Buildings, Fleet &amp; Equipment'!$C24&amp;D24,'Emission factors'!$J$3:$J$201&amp;'Emission factors'!$K$3:$K$201,0),MATCH('Buildings, Fleet &amp; Equipment'!$I$7,'Emission factors'!$K$2:$V$2,0)))</f>
        <v/>
      </c>
      <c r="J24" s="213" t="str">
        <f>IF(OR(G24="",I24=""),"",SUM(BuildingsTable[[#This Row],[Direct]:[Indirect WTT]]))</f>
        <v/>
      </c>
      <c r="K24" s="122"/>
      <c r="L24" s="214" t="str">
        <f t="array" ref="L24">IF(OR($C24="",$E24=""),"",(INDEX('Emission factors'!$K$3:$V$201,MATCH('Buildings, Fleet &amp; Equipment'!$C24&amp;$D24,'Emission factors'!$J$3:$J$201&amp;'Emission factors'!$K$3:$K$201,0),MATCH('Buildings, Fleet &amp; Equipment'!L$7,'Emission factors'!$K$2:$V$2,0)))*$G24)</f>
        <v/>
      </c>
      <c r="M24" s="214" t="str">
        <f t="array" ref="M24">IF(OR($C24="",$E24=""),"",(INDEX('Emission factors'!$K$3:$V$201,MATCH('Buildings, Fleet &amp; Equipment'!$C24&amp;$D24,'Emission factors'!$J$3:$J$201&amp;'Emission factors'!$K$3:$K$201,0),MATCH('Buildings, Fleet &amp; Equipment'!M$7,'Emission factors'!$K$2:$V$2,0)))*$G24)</f>
        <v/>
      </c>
      <c r="N24" s="214" t="str">
        <f t="array" ref="N24">IF(OR($C24="",$E24=""),"",(INDEX('Emission factors'!$K$3:$V$201,MATCH('Buildings, Fleet &amp; Equipment'!$C24&amp;$D24,'Emission factors'!$J$3:$J$201&amp;'Emission factors'!$K$3:$K$201,0),MATCH('Buildings, Fleet &amp; Equipment'!N$7,'Emission factors'!$K$2:$V$2,0)))*$G24)</f>
        <v/>
      </c>
      <c r="O24" s="214" t="str">
        <f t="array" ref="O24">IF(OR($C24="",$E24=""),"",(INDEX('Emission factors'!$K$3:$V$201,MATCH('Buildings, Fleet &amp; Equipment'!$C24&amp;$D24,'Emission factors'!$J$3:$J$201&amp;'Emission factors'!$K$3:$K$201,0),MATCH('Buildings, Fleet &amp; Equipment'!O$7,'Emission factors'!$K$2:$V$2,0)))*$G24)</f>
        <v/>
      </c>
      <c r="P24" s="214" t="str">
        <f t="array" ref="P24">IF(OR($C24="",$E24=""),"",(INDEX('Emission factors'!$K$3:$V$201,MATCH('Buildings, Fleet &amp; Equipment'!$C24&amp;$D24,'Emission factors'!$J$3:$J$201&amp;'Emission factors'!$K$3:$K$201,0),MATCH('Buildings, Fleet &amp; Equipment'!P$7,'Emission factors'!$K$2:$V$2,0)))*$G24)</f>
        <v/>
      </c>
      <c r="Q24" s="54"/>
    </row>
    <row r="25" spans="1:17" s="1" customFormat="1" ht="15.75" thickBot="1" x14ac:dyDescent="0.3">
      <c r="A25" s="148"/>
      <c r="B25" s="126"/>
      <c r="C25" s="123"/>
      <c r="D25" s="123"/>
      <c r="E25" s="120"/>
      <c r="F25" s="123"/>
      <c r="G25" s="125" t="str">
        <f t="array" ref="G25">IF(OR($C25="",$B25="",$E25="",$F25=""),"",IF(F25=H25,E25,(INDEX('Emission factors'!$K$3:$V$201,MATCH(C25&amp;D25,'Emission factors'!$J$3:$J$201&amp;'Emission factors'!$K$3:$K$201,0),MATCH(G$7,'Emission factors'!$K$2:$V$2,0)))*E25))</f>
        <v/>
      </c>
      <c r="H25" s="29" t="str">
        <f>IF(OR($C25="",$B25="",$E25="",$F25=""),"",INDEX('Emission factors'!$K$3:$V$201,MATCH('Buildings, Fleet &amp; Equipment'!$C25,'Emission factors'!$J$3:$J$201,0),MATCH($H$7,'Emission factors'!$K$2:$V$2,0)))</f>
        <v/>
      </c>
      <c r="I25" s="149" t="str">
        <f t="array" ref="I25">IF(OR(C25="",E25="",BuildingsTable[[#This Row],[Units]]=""),"",INDEX('Emission factors'!$K$3:$V$201,MATCH('Buildings, Fleet &amp; Equipment'!$C25&amp;D25,'Emission factors'!$J$3:$J$201&amp;'Emission factors'!$K$3:$K$201,0),MATCH('Buildings, Fleet &amp; Equipment'!$I$7,'Emission factors'!$K$2:$V$2,0)))</f>
        <v/>
      </c>
      <c r="J25" s="213" t="str">
        <f>IF(OR(G25="",I25=""),"",SUM(BuildingsTable[[#This Row],[Direct]:[Indirect WTT]]))</f>
        <v/>
      </c>
      <c r="K25" s="122"/>
      <c r="L25" s="214" t="str">
        <f t="array" ref="L25">IF(OR($C25="",$E25=""),"",(INDEX('Emission factors'!$K$3:$V$201,MATCH('Buildings, Fleet &amp; Equipment'!$C25&amp;$D25,'Emission factors'!$J$3:$J$201&amp;'Emission factors'!$K$3:$K$201,0),MATCH('Buildings, Fleet &amp; Equipment'!L$7,'Emission factors'!$K$2:$V$2,0)))*$G25)</f>
        <v/>
      </c>
      <c r="M25" s="214" t="str">
        <f t="array" ref="M25">IF(OR($C25="",$E25=""),"",(INDEX('Emission factors'!$K$3:$V$201,MATCH('Buildings, Fleet &amp; Equipment'!$C25&amp;$D25,'Emission factors'!$J$3:$J$201&amp;'Emission factors'!$K$3:$K$201,0),MATCH('Buildings, Fleet &amp; Equipment'!M$7,'Emission factors'!$K$2:$V$2,0)))*$G25)</f>
        <v/>
      </c>
      <c r="N25" s="214" t="str">
        <f t="array" ref="N25">IF(OR($C25="",$E25=""),"",(INDEX('Emission factors'!$K$3:$V$201,MATCH('Buildings, Fleet &amp; Equipment'!$C25&amp;$D25,'Emission factors'!$J$3:$J$201&amp;'Emission factors'!$K$3:$K$201,0),MATCH('Buildings, Fleet &amp; Equipment'!N$7,'Emission factors'!$K$2:$V$2,0)))*$G25)</f>
        <v/>
      </c>
      <c r="O25" s="214" t="str">
        <f t="array" ref="O25">IF(OR($C25="",$E25=""),"",(INDEX('Emission factors'!$K$3:$V$201,MATCH('Buildings, Fleet &amp; Equipment'!$C25&amp;$D25,'Emission factors'!$J$3:$J$201&amp;'Emission factors'!$K$3:$K$201,0),MATCH('Buildings, Fleet &amp; Equipment'!O$7,'Emission factors'!$K$2:$V$2,0)))*$G25)</f>
        <v/>
      </c>
      <c r="P25" s="214" t="str">
        <f t="array" ref="P25">IF(OR($C25="",$E25=""),"",(INDEX('Emission factors'!$K$3:$V$201,MATCH('Buildings, Fleet &amp; Equipment'!$C25&amp;$D25,'Emission factors'!$J$3:$J$201&amp;'Emission factors'!$K$3:$K$201,0),MATCH('Buildings, Fleet &amp; Equipment'!P$7,'Emission factors'!$K$2:$V$2,0)))*$G25)</f>
        <v/>
      </c>
      <c r="Q25" s="54"/>
    </row>
    <row r="26" spans="1:17" s="1" customFormat="1" ht="15.75" thickBot="1" x14ac:dyDescent="0.3">
      <c r="A26" s="148"/>
      <c r="B26" s="126"/>
      <c r="C26" s="123"/>
      <c r="D26" s="123"/>
      <c r="E26" s="120"/>
      <c r="F26" s="123"/>
      <c r="G26" s="125" t="str">
        <f t="array" ref="G26">IF(OR($C26="",$B26="",$E26="",$F26=""),"",IF(F26=H26,E26,(INDEX('Emission factors'!$K$3:$V$201,MATCH(C26&amp;D26,'Emission factors'!$J$3:$J$201&amp;'Emission factors'!$K$3:$K$201,0),MATCH(G$7,'Emission factors'!$K$2:$V$2,0)))*E26))</f>
        <v/>
      </c>
      <c r="H26" s="29" t="str">
        <f>IF(OR($C26="",$B26="",$E26="",$F26=""),"",INDEX('Emission factors'!$K$3:$V$201,MATCH('Buildings, Fleet &amp; Equipment'!$C26,'Emission factors'!$J$3:$J$201,0),MATCH($H$7,'Emission factors'!$K$2:$V$2,0)))</f>
        <v/>
      </c>
      <c r="I26" s="149" t="str">
        <f t="array" ref="I26">IF(OR(C26="",E26="",BuildingsTable[[#This Row],[Units]]=""),"",INDEX('Emission factors'!$K$3:$V$201,MATCH('Buildings, Fleet &amp; Equipment'!$C26&amp;D26,'Emission factors'!$J$3:$J$201&amp;'Emission factors'!$K$3:$K$201,0),MATCH('Buildings, Fleet &amp; Equipment'!$I$7,'Emission factors'!$K$2:$V$2,0)))</f>
        <v/>
      </c>
      <c r="J26" s="213" t="str">
        <f>IF(OR(G26="",I26=""),"",SUM(BuildingsTable[[#This Row],[Direct]:[Indirect WTT]]))</f>
        <v/>
      </c>
      <c r="K26" s="122"/>
      <c r="L26" s="214" t="str">
        <f t="array" ref="L26">IF(OR($C26="",$E26=""),"",(INDEX('Emission factors'!$K$3:$V$201,MATCH('Buildings, Fleet &amp; Equipment'!$C26&amp;$D26,'Emission factors'!$J$3:$J$201&amp;'Emission factors'!$K$3:$K$201,0),MATCH('Buildings, Fleet &amp; Equipment'!L$7,'Emission factors'!$K$2:$V$2,0)))*$G26)</f>
        <v/>
      </c>
      <c r="M26" s="214" t="str">
        <f t="array" ref="M26">IF(OR($C26="",$E26=""),"",(INDEX('Emission factors'!$K$3:$V$201,MATCH('Buildings, Fleet &amp; Equipment'!$C26&amp;$D26,'Emission factors'!$J$3:$J$201&amp;'Emission factors'!$K$3:$K$201,0),MATCH('Buildings, Fleet &amp; Equipment'!M$7,'Emission factors'!$K$2:$V$2,0)))*$G26)</f>
        <v/>
      </c>
      <c r="N26" s="214" t="str">
        <f t="array" ref="N26">IF(OR($C26="",$E26=""),"",(INDEX('Emission factors'!$K$3:$V$201,MATCH('Buildings, Fleet &amp; Equipment'!$C26&amp;$D26,'Emission factors'!$J$3:$J$201&amp;'Emission factors'!$K$3:$K$201,0),MATCH('Buildings, Fleet &amp; Equipment'!N$7,'Emission factors'!$K$2:$V$2,0)))*$G26)</f>
        <v/>
      </c>
      <c r="O26" s="214" t="str">
        <f t="array" ref="O26">IF(OR($C26="",$E26=""),"",(INDEX('Emission factors'!$K$3:$V$201,MATCH('Buildings, Fleet &amp; Equipment'!$C26&amp;$D26,'Emission factors'!$J$3:$J$201&amp;'Emission factors'!$K$3:$K$201,0),MATCH('Buildings, Fleet &amp; Equipment'!O$7,'Emission factors'!$K$2:$V$2,0)))*$G26)</f>
        <v/>
      </c>
      <c r="P26" s="214" t="str">
        <f t="array" ref="P26">IF(OR($C26="",$E26=""),"",(INDEX('Emission factors'!$K$3:$V$201,MATCH('Buildings, Fleet &amp; Equipment'!$C26&amp;$D26,'Emission factors'!$J$3:$J$201&amp;'Emission factors'!$K$3:$K$201,0),MATCH('Buildings, Fleet &amp; Equipment'!P$7,'Emission factors'!$K$2:$V$2,0)))*$G26)</f>
        <v/>
      </c>
      <c r="Q26" s="54"/>
    </row>
    <row r="27" spans="1:17" s="1" customFormat="1" ht="15.75" thickBot="1" x14ac:dyDescent="0.3">
      <c r="A27" s="148"/>
      <c r="B27" s="126"/>
      <c r="C27" s="123"/>
      <c r="D27" s="123"/>
      <c r="E27" s="120"/>
      <c r="F27" s="123"/>
      <c r="G27" s="125" t="str">
        <f t="array" ref="G27">IF(OR($C27="",$B27="",$E27="",$F27=""),"",IF(F27=H27,E27,(INDEX('Emission factors'!$K$3:$V$201,MATCH(C27&amp;D27,'Emission factors'!$J$3:$J$201&amp;'Emission factors'!$K$3:$K$201,0),MATCH(G$7,'Emission factors'!$K$2:$V$2,0)))*E27))</f>
        <v/>
      </c>
      <c r="H27" s="29" t="str">
        <f>IF(OR($C27="",$B27="",$E27="",$F27=""),"",INDEX('Emission factors'!$K$3:$V$201,MATCH('Buildings, Fleet &amp; Equipment'!$C27,'Emission factors'!$J$3:$J$201,0),MATCH($H$7,'Emission factors'!$K$2:$V$2,0)))</f>
        <v/>
      </c>
      <c r="I27" s="149" t="str">
        <f t="array" ref="I27">IF(OR(C27="",E27="",BuildingsTable[[#This Row],[Units]]=""),"",INDEX('Emission factors'!$K$3:$V$201,MATCH('Buildings, Fleet &amp; Equipment'!$C27&amp;D27,'Emission factors'!$J$3:$J$201&amp;'Emission factors'!$K$3:$K$201,0),MATCH('Buildings, Fleet &amp; Equipment'!$I$7,'Emission factors'!$K$2:$V$2,0)))</f>
        <v/>
      </c>
      <c r="J27" s="213" t="str">
        <f>IF(OR(G27="",I27=""),"",SUM(BuildingsTable[[#This Row],[Direct]:[Indirect WTT]]))</f>
        <v/>
      </c>
      <c r="K27" s="122"/>
      <c r="L27" s="214" t="str">
        <f t="array" ref="L27">IF(OR($C27="",$E27=""),"",(INDEX('Emission factors'!$K$3:$V$201,MATCH('Buildings, Fleet &amp; Equipment'!$C27&amp;$D27,'Emission factors'!$J$3:$J$201&amp;'Emission factors'!$K$3:$K$201,0),MATCH('Buildings, Fleet &amp; Equipment'!L$7,'Emission factors'!$K$2:$V$2,0)))*$G27)</f>
        <v/>
      </c>
      <c r="M27" s="214" t="str">
        <f t="array" ref="M27">IF(OR($C27="",$E27=""),"",(INDEX('Emission factors'!$K$3:$V$201,MATCH('Buildings, Fleet &amp; Equipment'!$C27&amp;$D27,'Emission factors'!$J$3:$J$201&amp;'Emission factors'!$K$3:$K$201,0),MATCH('Buildings, Fleet &amp; Equipment'!M$7,'Emission factors'!$K$2:$V$2,0)))*$G27)</f>
        <v/>
      </c>
      <c r="N27" s="214" t="str">
        <f t="array" ref="N27">IF(OR($C27="",$E27=""),"",(INDEX('Emission factors'!$K$3:$V$201,MATCH('Buildings, Fleet &amp; Equipment'!$C27&amp;$D27,'Emission factors'!$J$3:$J$201&amp;'Emission factors'!$K$3:$K$201,0),MATCH('Buildings, Fleet &amp; Equipment'!N$7,'Emission factors'!$K$2:$V$2,0)))*$G27)</f>
        <v/>
      </c>
      <c r="O27" s="214" t="str">
        <f t="array" ref="O27">IF(OR($C27="",$E27=""),"",(INDEX('Emission factors'!$K$3:$V$201,MATCH('Buildings, Fleet &amp; Equipment'!$C27&amp;$D27,'Emission factors'!$J$3:$J$201&amp;'Emission factors'!$K$3:$K$201,0),MATCH('Buildings, Fleet &amp; Equipment'!O$7,'Emission factors'!$K$2:$V$2,0)))*$G27)</f>
        <v/>
      </c>
      <c r="P27" s="214" t="str">
        <f t="array" ref="P27">IF(OR($C27="",$E27=""),"",(INDEX('Emission factors'!$K$3:$V$201,MATCH('Buildings, Fleet &amp; Equipment'!$C27&amp;$D27,'Emission factors'!$J$3:$J$201&amp;'Emission factors'!$K$3:$K$201,0),MATCH('Buildings, Fleet &amp; Equipment'!P$7,'Emission factors'!$K$2:$V$2,0)))*$G27)</f>
        <v/>
      </c>
      <c r="Q27" s="54"/>
    </row>
    <row r="28" spans="1:17" s="1" customFormat="1" ht="15.75" thickBot="1" x14ac:dyDescent="0.3">
      <c r="A28" s="148"/>
      <c r="B28" s="126"/>
      <c r="C28" s="123"/>
      <c r="D28" s="123"/>
      <c r="E28" s="120"/>
      <c r="F28" s="123"/>
      <c r="G28" s="125" t="str">
        <f t="array" ref="G28">IF(OR($C28="",$B28="",$E28="",$F28=""),"",IF(F28=H28,E28,(INDEX('Emission factors'!$K$3:$V$201,MATCH(C28&amp;D28,'Emission factors'!$J$3:$J$201&amp;'Emission factors'!$K$3:$K$201,0),MATCH(G$7,'Emission factors'!$K$2:$V$2,0)))*E28))</f>
        <v/>
      </c>
      <c r="H28" s="29" t="str">
        <f>IF(OR($C28="",$B28="",$E28="",$F28=""),"",INDEX('Emission factors'!$K$3:$V$201,MATCH('Buildings, Fleet &amp; Equipment'!$C28,'Emission factors'!$J$3:$J$201,0),MATCH($H$7,'Emission factors'!$K$2:$V$2,0)))</f>
        <v/>
      </c>
      <c r="I28" s="149" t="str">
        <f t="array" ref="I28">IF(OR(C28="",E28="",BuildingsTable[[#This Row],[Units]]=""),"",INDEX('Emission factors'!$K$3:$V$201,MATCH('Buildings, Fleet &amp; Equipment'!$C28&amp;D28,'Emission factors'!$J$3:$J$201&amp;'Emission factors'!$K$3:$K$201,0),MATCH('Buildings, Fleet &amp; Equipment'!$I$7,'Emission factors'!$K$2:$V$2,0)))</f>
        <v/>
      </c>
      <c r="J28" s="213" t="str">
        <f>IF(OR(G28="",I28=""),"",SUM(BuildingsTable[[#This Row],[Direct]:[Indirect WTT]]))</f>
        <v/>
      </c>
      <c r="K28" s="122"/>
      <c r="L28" s="214" t="str">
        <f t="array" ref="L28">IF(OR($C28="",$E28=""),"",(INDEX('Emission factors'!$K$3:$V$201,MATCH('Buildings, Fleet &amp; Equipment'!$C28&amp;$D28,'Emission factors'!$J$3:$J$201&amp;'Emission factors'!$K$3:$K$201,0),MATCH('Buildings, Fleet &amp; Equipment'!L$7,'Emission factors'!$K$2:$V$2,0)))*$G28)</f>
        <v/>
      </c>
      <c r="M28" s="214" t="str">
        <f t="array" ref="M28">IF(OR($C28="",$E28=""),"",(INDEX('Emission factors'!$K$3:$V$201,MATCH('Buildings, Fleet &amp; Equipment'!$C28&amp;$D28,'Emission factors'!$J$3:$J$201&amp;'Emission factors'!$K$3:$K$201,0),MATCH('Buildings, Fleet &amp; Equipment'!M$7,'Emission factors'!$K$2:$V$2,0)))*$G28)</f>
        <v/>
      </c>
      <c r="N28" s="214" t="str">
        <f t="array" ref="N28">IF(OR($C28="",$E28=""),"",(INDEX('Emission factors'!$K$3:$V$201,MATCH('Buildings, Fleet &amp; Equipment'!$C28&amp;$D28,'Emission factors'!$J$3:$J$201&amp;'Emission factors'!$K$3:$K$201,0),MATCH('Buildings, Fleet &amp; Equipment'!N$7,'Emission factors'!$K$2:$V$2,0)))*$G28)</f>
        <v/>
      </c>
      <c r="O28" s="214" t="str">
        <f t="array" ref="O28">IF(OR($C28="",$E28=""),"",(INDEX('Emission factors'!$K$3:$V$201,MATCH('Buildings, Fleet &amp; Equipment'!$C28&amp;$D28,'Emission factors'!$J$3:$J$201&amp;'Emission factors'!$K$3:$K$201,0),MATCH('Buildings, Fleet &amp; Equipment'!O$7,'Emission factors'!$K$2:$V$2,0)))*$G28)</f>
        <v/>
      </c>
      <c r="P28" s="214" t="str">
        <f t="array" ref="P28">IF(OR($C28="",$E28=""),"",(INDEX('Emission factors'!$K$3:$V$201,MATCH('Buildings, Fleet &amp; Equipment'!$C28&amp;$D28,'Emission factors'!$J$3:$J$201&amp;'Emission factors'!$K$3:$K$201,0),MATCH('Buildings, Fleet &amp; Equipment'!P$7,'Emission factors'!$K$2:$V$2,0)))*$G28)</f>
        <v/>
      </c>
      <c r="Q28" s="54"/>
    </row>
    <row r="29" spans="1:17" s="1" customFormat="1" ht="15.75" thickBot="1" x14ac:dyDescent="0.3">
      <c r="A29" s="148"/>
      <c r="B29" s="126"/>
      <c r="C29" s="123"/>
      <c r="D29" s="123"/>
      <c r="E29" s="120"/>
      <c r="F29" s="123"/>
      <c r="G29" s="125" t="str">
        <f t="array" ref="G29">IF(OR($C29="",$B29="",$E29="",$F29=""),"",IF(F29=H29,E29,(INDEX('Emission factors'!$K$3:$V$201,MATCH(C29&amp;D29,'Emission factors'!$J$3:$J$201&amp;'Emission factors'!$K$3:$K$201,0),MATCH(G$7,'Emission factors'!$K$2:$V$2,0)))*E29))</f>
        <v/>
      </c>
      <c r="H29" s="29" t="str">
        <f>IF(OR($C29="",$B29="",$E29="",$F29=""),"",INDEX('Emission factors'!$K$3:$V$201,MATCH('Buildings, Fleet &amp; Equipment'!$C29,'Emission factors'!$J$3:$J$201,0),MATCH($H$7,'Emission factors'!$K$2:$V$2,0)))</f>
        <v/>
      </c>
      <c r="I29" s="149" t="str">
        <f t="array" ref="I29">IF(OR(C29="",E29="",BuildingsTable[[#This Row],[Units]]=""),"",INDEX('Emission factors'!$K$3:$V$201,MATCH('Buildings, Fleet &amp; Equipment'!$C29&amp;D29,'Emission factors'!$J$3:$J$201&amp;'Emission factors'!$K$3:$K$201,0),MATCH('Buildings, Fleet &amp; Equipment'!$I$7,'Emission factors'!$K$2:$V$2,0)))</f>
        <v/>
      </c>
      <c r="J29" s="213" t="str">
        <f>IF(OR(G29="",I29=""),"",SUM(BuildingsTable[[#This Row],[Direct]:[Indirect WTT]]))</f>
        <v/>
      </c>
      <c r="K29" s="122"/>
      <c r="L29" s="214" t="str">
        <f t="array" ref="L29">IF(OR($C29="",$E29=""),"",(INDEX('Emission factors'!$K$3:$V$201,MATCH('Buildings, Fleet &amp; Equipment'!$C29&amp;$D29,'Emission factors'!$J$3:$J$201&amp;'Emission factors'!$K$3:$K$201,0),MATCH('Buildings, Fleet &amp; Equipment'!L$7,'Emission factors'!$K$2:$V$2,0)))*$G29)</f>
        <v/>
      </c>
      <c r="M29" s="214" t="str">
        <f t="array" ref="M29">IF(OR($C29="",$E29=""),"",(INDEX('Emission factors'!$K$3:$V$201,MATCH('Buildings, Fleet &amp; Equipment'!$C29&amp;$D29,'Emission factors'!$J$3:$J$201&amp;'Emission factors'!$K$3:$K$201,0),MATCH('Buildings, Fleet &amp; Equipment'!M$7,'Emission factors'!$K$2:$V$2,0)))*$G29)</f>
        <v/>
      </c>
      <c r="N29" s="214" t="str">
        <f t="array" ref="N29">IF(OR($C29="",$E29=""),"",(INDEX('Emission factors'!$K$3:$V$201,MATCH('Buildings, Fleet &amp; Equipment'!$C29&amp;$D29,'Emission factors'!$J$3:$J$201&amp;'Emission factors'!$K$3:$K$201,0),MATCH('Buildings, Fleet &amp; Equipment'!N$7,'Emission factors'!$K$2:$V$2,0)))*$G29)</f>
        <v/>
      </c>
      <c r="O29" s="214" t="str">
        <f t="array" ref="O29">IF(OR($C29="",$E29=""),"",(INDEX('Emission factors'!$K$3:$V$201,MATCH('Buildings, Fleet &amp; Equipment'!$C29&amp;$D29,'Emission factors'!$J$3:$J$201&amp;'Emission factors'!$K$3:$K$201,0),MATCH('Buildings, Fleet &amp; Equipment'!O$7,'Emission factors'!$K$2:$V$2,0)))*$G29)</f>
        <v/>
      </c>
      <c r="P29" s="214" t="str">
        <f t="array" ref="P29">IF(OR($C29="",$E29=""),"",(INDEX('Emission factors'!$K$3:$V$201,MATCH('Buildings, Fleet &amp; Equipment'!$C29&amp;$D29,'Emission factors'!$J$3:$J$201&amp;'Emission factors'!$K$3:$K$201,0),MATCH('Buildings, Fleet &amp; Equipment'!P$7,'Emission factors'!$K$2:$V$2,0)))*$G29)</f>
        <v/>
      </c>
      <c r="Q29" s="54"/>
    </row>
    <row r="30" spans="1:17" s="1" customFormat="1" ht="15.75" thickBot="1" x14ac:dyDescent="0.3">
      <c r="A30" s="148"/>
      <c r="B30" s="126"/>
      <c r="C30" s="123"/>
      <c r="D30" s="123"/>
      <c r="E30" s="120"/>
      <c r="F30" s="123"/>
      <c r="G30" s="125" t="str">
        <f t="array" ref="G30">IF(OR($C30="",$B30="",$E30="",$F30=""),"",IF(F30=H30,E30,(INDEX('Emission factors'!$K$3:$V$201,MATCH(C30&amp;D30,'Emission factors'!$J$3:$J$201&amp;'Emission factors'!$K$3:$K$201,0),MATCH(G$7,'Emission factors'!$K$2:$V$2,0)))*E30))</f>
        <v/>
      </c>
      <c r="H30" s="29" t="str">
        <f>IF(OR($C30="",$B30="",$E30="",$F30=""),"",INDEX('Emission factors'!$K$3:$V$201,MATCH('Buildings, Fleet &amp; Equipment'!$C30,'Emission factors'!$J$3:$J$201,0),MATCH($H$7,'Emission factors'!$K$2:$V$2,0)))</f>
        <v/>
      </c>
      <c r="I30" s="149" t="str">
        <f t="array" ref="I30">IF(OR(C30="",E30="",BuildingsTable[[#This Row],[Units]]=""),"",INDEX('Emission factors'!$K$3:$V$201,MATCH('Buildings, Fleet &amp; Equipment'!$C30&amp;D30,'Emission factors'!$J$3:$J$201&amp;'Emission factors'!$K$3:$K$201,0),MATCH('Buildings, Fleet &amp; Equipment'!$I$7,'Emission factors'!$K$2:$V$2,0)))</f>
        <v/>
      </c>
      <c r="J30" s="213" t="str">
        <f>IF(OR(G30="",I30=""),"",SUM(BuildingsTable[[#This Row],[Direct]:[Indirect WTT]]))</f>
        <v/>
      </c>
      <c r="K30" s="122"/>
      <c r="L30" s="214" t="str">
        <f t="array" ref="L30">IF(OR($C30="",$E30=""),"",(INDEX('Emission factors'!$K$3:$V$201,MATCH('Buildings, Fleet &amp; Equipment'!$C30&amp;$D30,'Emission factors'!$J$3:$J$201&amp;'Emission factors'!$K$3:$K$201,0),MATCH('Buildings, Fleet &amp; Equipment'!L$7,'Emission factors'!$K$2:$V$2,0)))*$G30)</f>
        <v/>
      </c>
      <c r="M30" s="214" t="str">
        <f t="array" ref="M30">IF(OR($C30="",$E30=""),"",(INDEX('Emission factors'!$K$3:$V$201,MATCH('Buildings, Fleet &amp; Equipment'!$C30&amp;$D30,'Emission factors'!$J$3:$J$201&amp;'Emission factors'!$K$3:$K$201,0),MATCH('Buildings, Fleet &amp; Equipment'!M$7,'Emission factors'!$K$2:$V$2,0)))*$G30)</f>
        <v/>
      </c>
      <c r="N30" s="214" t="str">
        <f t="array" ref="N30">IF(OR($C30="",$E30=""),"",(INDEX('Emission factors'!$K$3:$V$201,MATCH('Buildings, Fleet &amp; Equipment'!$C30&amp;$D30,'Emission factors'!$J$3:$J$201&amp;'Emission factors'!$K$3:$K$201,0),MATCH('Buildings, Fleet &amp; Equipment'!N$7,'Emission factors'!$K$2:$V$2,0)))*$G30)</f>
        <v/>
      </c>
      <c r="O30" s="214" t="str">
        <f t="array" ref="O30">IF(OR($C30="",$E30=""),"",(INDEX('Emission factors'!$K$3:$V$201,MATCH('Buildings, Fleet &amp; Equipment'!$C30&amp;$D30,'Emission factors'!$J$3:$J$201&amp;'Emission factors'!$K$3:$K$201,0),MATCH('Buildings, Fleet &amp; Equipment'!O$7,'Emission factors'!$K$2:$V$2,0)))*$G30)</f>
        <v/>
      </c>
      <c r="P30" s="214" t="str">
        <f t="array" ref="P30">IF(OR($C30="",$E30=""),"",(INDEX('Emission factors'!$K$3:$V$201,MATCH('Buildings, Fleet &amp; Equipment'!$C30&amp;$D30,'Emission factors'!$J$3:$J$201&amp;'Emission factors'!$K$3:$K$201,0),MATCH('Buildings, Fleet &amp; Equipment'!P$7,'Emission factors'!$K$2:$V$2,0)))*$G30)</f>
        <v/>
      </c>
      <c r="Q30" s="54"/>
    </row>
    <row r="31" spans="1:17" s="1" customFormat="1" ht="15.75" thickBot="1" x14ac:dyDescent="0.3">
      <c r="A31" s="148"/>
      <c r="B31" s="126"/>
      <c r="C31" s="123"/>
      <c r="D31" s="123"/>
      <c r="E31" s="120"/>
      <c r="F31" s="123"/>
      <c r="G31" s="125" t="str">
        <f t="array" ref="G31">IF(OR($C31="",$B31="",$E31="",$F31=""),"",IF(F31=H31,E31,(INDEX('Emission factors'!$K$3:$V$201,MATCH(C31&amp;D31,'Emission factors'!$J$3:$J$201&amp;'Emission factors'!$K$3:$K$201,0),MATCH(G$7,'Emission factors'!$K$2:$V$2,0)))*E31))</f>
        <v/>
      </c>
      <c r="H31" s="29" t="str">
        <f>IF(OR($C31="",$B31="",$E31="",$F31=""),"",INDEX('Emission factors'!$K$3:$V$201,MATCH('Buildings, Fleet &amp; Equipment'!$C31,'Emission factors'!$J$3:$J$201,0),MATCH($H$7,'Emission factors'!$K$2:$V$2,0)))</f>
        <v/>
      </c>
      <c r="I31" s="149" t="str">
        <f t="array" ref="I31">IF(OR(C31="",E31="",BuildingsTable[[#This Row],[Units]]=""),"",INDEX('Emission factors'!$K$3:$V$201,MATCH('Buildings, Fleet &amp; Equipment'!$C31&amp;D31,'Emission factors'!$J$3:$J$201&amp;'Emission factors'!$K$3:$K$201,0),MATCH('Buildings, Fleet &amp; Equipment'!$I$7,'Emission factors'!$K$2:$V$2,0)))</f>
        <v/>
      </c>
      <c r="J31" s="213" t="str">
        <f>IF(OR(G31="",I31=""),"",SUM(BuildingsTable[[#This Row],[Direct]:[Indirect WTT]]))</f>
        <v/>
      </c>
      <c r="K31" s="122"/>
      <c r="L31" s="214" t="str">
        <f t="array" ref="L31">IF(OR($C31="",$E31=""),"",(INDEX('Emission factors'!$K$3:$V$201,MATCH('Buildings, Fleet &amp; Equipment'!$C31&amp;$D31,'Emission factors'!$J$3:$J$201&amp;'Emission factors'!$K$3:$K$201,0),MATCH('Buildings, Fleet &amp; Equipment'!L$7,'Emission factors'!$K$2:$V$2,0)))*$G31)</f>
        <v/>
      </c>
      <c r="M31" s="214" t="str">
        <f t="array" ref="M31">IF(OR($C31="",$E31=""),"",(INDEX('Emission factors'!$K$3:$V$201,MATCH('Buildings, Fleet &amp; Equipment'!$C31&amp;$D31,'Emission factors'!$J$3:$J$201&amp;'Emission factors'!$K$3:$K$201,0),MATCH('Buildings, Fleet &amp; Equipment'!M$7,'Emission factors'!$K$2:$V$2,0)))*$G31)</f>
        <v/>
      </c>
      <c r="N31" s="214" t="str">
        <f t="array" ref="N31">IF(OR($C31="",$E31=""),"",(INDEX('Emission factors'!$K$3:$V$201,MATCH('Buildings, Fleet &amp; Equipment'!$C31&amp;$D31,'Emission factors'!$J$3:$J$201&amp;'Emission factors'!$K$3:$K$201,0),MATCH('Buildings, Fleet &amp; Equipment'!N$7,'Emission factors'!$K$2:$V$2,0)))*$G31)</f>
        <v/>
      </c>
      <c r="O31" s="214" t="str">
        <f t="array" ref="O31">IF(OR($C31="",$E31=""),"",(INDEX('Emission factors'!$K$3:$V$201,MATCH('Buildings, Fleet &amp; Equipment'!$C31&amp;$D31,'Emission factors'!$J$3:$J$201&amp;'Emission factors'!$K$3:$K$201,0),MATCH('Buildings, Fleet &amp; Equipment'!O$7,'Emission factors'!$K$2:$V$2,0)))*$G31)</f>
        <v/>
      </c>
      <c r="P31" s="214" t="str">
        <f t="array" ref="P31">IF(OR($C31="",$E31=""),"",(INDEX('Emission factors'!$K$3:$V$201,MATCH('Buildings, Fleet &amp; Equipment'!$C31&amp;$D31,'Emission factors'!$J$3:$J$201&amp;'Emission factors'!$K$3:$K$201,0),MATCH('Buildings, Fleet &amp; Equipment'!P$7,'Emission factors'!$K$2:$V$2,0)))*$G31)</f>
        <v/>
      </c>
      <c r="Q31" s="54"/>
    </row>
    <row r="32" spans="1:17" s="1" customFormat="1" ht="15.75" thickBot="1" x14ac:dyDescent="0.3">
      <c r="A32" s="148"/>
      <c r="B32" s="126"/>
      <c r="C32" s="123"/>
      <c r="D32" s="123"/>
      <c r="E32" s="120"/>
      <c r="F32" s="123"/>
      <c r="G32" s="125" t="str">
        <f t="array" ref="G32">IF(OR($C32="",$B32="",$E32="",$F32=""),"",IF(F32=H32,E32,(INDEX('Emission factors'!$K$3:$V$201,MATCH(C32&amp;D32,'Emission factors'!$J$3:$J$201&amp;'Emission factors'!$K$3:$K$201,0),MATCH(G$7,'Emission factors'!$K$2:$V$2,0)))*E32))</f>
        <v/>
      </c>
      <c r="H32" s="29" t="str">
        <f>IF(OR($C32="",$B32="",$E32="",$F32=""),"",INDEX('Emission factors'!$K$3:$V$201,MATCH('Buildings, Fleet &amp; Equipment'!$C32,'Emission factors'!$J$3:$J$201,0),MATCH($H$7,'Emission factors'!$K$2:$V$2,0)))</f>
        <v/>
      </c>
      <c r="I32" s="149" t="str">
        <f t="array" ref="I32">IF(OR(C32="",E32="",BuildingsTable[[#This Row],[Units]]=""),"",INDEX('Emission factors'!$K$3:$V$201,MATCH('Buildings, Fleet &amp; Equipment'!$C32&amp;D32,'Emission factors'!$J$3:$J$201&amp;'Emission factors'!$K$3:$K$201,0),MATCH('Buildings, Fleet &amp; Equipment'!$I$7,'Emission factors'!$K$2:$V$2,0)))</f>
        <v/>
      </c>
      <c r="J32" s="213" t="str">
        <f>IF(OR(G32="",I32=""),"",SUM(BuildingsTable[[#This Row],[Direct]:[Indirect WTT]]))</f>
        <v/>
      </c>
      <c r="K32" s="122"/>
      <c r="L32" s="214" t="str">
        <f t="array" ref="L32">IF(OR($C32="",$E32=""),"",(INDEX('Emission factors'!$K$3:$V$201,MATCH('Buildings, Fleet &amp; Equipment'!$C32&amp;$D32,'Emission factors'!$J$3:$J$201&amp;'Emission factors'!$K$3:$K$201,0),MATCH('Buildings, Fleet &amp; Equipment'!L$7,'Emission factors'!$K$2:$V$2,0)))*$G32)</f>
        <v/>
      </c>
      <c r="M32" s="214" t="str">
        <f t="array" ref="M32">IF(OR($C32="",$E32=""),"",(INDEX('Emission factors'!$K$3:$V$201,MATCH('Buildings, Fleet &amp; Equipment'!$C32&amp;$D32,'Emission factors'!$J$3:$J$201&amp;'Emission factors'!$K$3:$K$201,0),MATCH('Buildings, Fleet &amp; Equipment'!M$7,'Emission factors'!$K$2:$V$2,0)))*$G32)</f>
        <v/>
      </c>
      <c r="N32" s="214" t="str">
        <f t="array" ref="N32">IF(OR($C32="",$E32=""),"",(INDEX('Emission factors'!$K$3:$V$201,MATCH('Buildings, Fleet &amp; Equipment'!$C32&amp;$D32,'Emission factors'!$J$3:$J$201&amp;'Emission factors'!$K$3:$K$201,0),MATCH('Buildings, Fleet &amp; Equipment'!N$7,'Emission factors'!$K$2:$V$2,0)))*$G32)</f>
        <v/>
      </c>
      <c r="O32" s="214" t="str">
        <f t="array" ref="O32">IF(OR($C32="",$E32=""),"",(INDEX('Emission factors'!$K$3:$V$201,MATCH('Buildings, Fleet &amp; Equipment'!$C32&amp;$D32,'Emission factors'!$J$3:$J$201&amp;'Emission factors'!$K$3:$K$201,0),MATCH('Buildings, Fleet &amp; Equipment'!O$7,'Emission factors'!$K$2:$V$2,0)))*$G32)</f>
        <v/>
      </c>
      <c r="P32" s="214" t="str">
        <f t="array" ref="P32">IF(OR($C32="",$E32=""),"",(INDEX('Emission factors'!$K$3:$V$201,MATCH('Buildings, Fleet &amp; Equipment'!$C32&amp;$D32,'Emission factors'!$J$3:$J$201&amp;'Emission factors'!$K$3:$K$201,0),MATCH('Buildings, Fleet &amp; Equipment'!P$7,'Emission factors'!$K$2:$V$2,0)))*$G32)</f>
        <v/>
      </c>
      <c r="Q32" s="54"/>
    </row>
    <row r="33" spans="1:26" s="1" customFormat="1" ht="15.75" thickBot="1" x14ac:dyDescent="0.3">
      <c r="A33" s="148"/>
      <c r="B33" s="126"/>
      <c r="C33" s="123"/>
      <c r="D33" s="123"/>
      <c r="E33" s="120"/>
      <c r="F33" s="123"/>
      <c r="G33" s="125" t="str">
        <f t="array" ref="G33">IF(OR($C33="",$B33="",$E33="",$F33=""),"",IF(F33=H33,E33,(INDEX('Emission factors'!$K$3:$V$201,MATCH(C33&amp;D33,'Emission factors'!$J$3:$J$201&amp;'Emission factors'!$K$3:$K$201,0),MATCH(G$7,'Emission factors'!$K$2:$V$2,0)))*E33))</f>
        <v/>
      </c>
      <c r="H33" s="29" t="str">
        <f>IF(OR($C33="",$B33="",$E33="",$F33=""),"",INDEX('Emission factors'!$K$3:$V$201,MATCH('Buildings, Fleet &amp; Equipment'!$C33,'Emission factors'!$J$3:$J$201,0),MATCH($H$7,'Emission factors'!$K$2:$V$2,0)))</f>
        <v/>
      </c>
      <c r="I33" s="149" t="str">
        <f t="array" ref="I33">IF(OR(C33="",E33="",BuildingsTable[[#This Row],[Units]]=""),"",INDEX('Emission factors'!$K$3:$V$201,MATCH('Buildings, Fleet &amp; Equipment'!$C33&amp;D33,'Emission factors'!$J$3:$J$201&amp;'Emission factors'!$K$3:$K$201,0),MATCH('Buildings, Fleet &amp; Equipment'!$I$7,'Emission factors'!$K$2:$V$2,0)))</f>
        <v/>
      </c>
      <c r="J33" s="213" t="str">
        <f>IF(OR(G33="",I33=""),"",SUM(BuildingsTable[[#This Row],[Direct]:[Indirect WTT]]))</f>
        <v/>
      </c>
      <c r="K33" s="122"/>
      <c r="L33" s="214" t="str">
        <f t="array" ref="L33">IF(OR($C33="",$E33=""),"",(INDEX('Emission factors'!$K$3:$V$201,MATCH('Buildings, Fleet &amp; Equipment'!$C33&amp;$D33,'Emission factors'!$J$3:$J$201&amp;'Emission factors'!$K$3:$K$201,0),MATCH('Buildings, Fleet &amp; Equipment'!L$7,'Emission factors'!$K$2:$V$2,0)))*$G33)</f>
        <v/>
      </c>
      <c r="M33" s="214" t="str">
        <f t="array" ref="M33">IF(OR($C33="",$E33=""),"",(INDEX('Emission factors'!$K$3:$V$201,MATCH('Buildings, Fleet &amp; Equipment'!$C33&amp;$D33,'Emission factors'!$J$3:$J$201&amp;'Emission factors'!$K$3:$K$201,0),MATCH('Buildings, Fleet &amp; Equipment'!M$7,'Emission factors'!$K$2:$V$2,0)))*$G33)</f>
        <v/>
      </c>
      <c r="N33" s="214" t="str">
        <f t="array" ref="N33">IF(OR($C33="",$E33=""),"",(INDEX('Emission factors'!$K$3:$V$201,MATCH('Buildings, Fleet &amp; Equipment'!$C33&amp;$D33,'Emission factors'!$J$3:$J$201&amp;'Emission factors'!$K$3:$K$201,0),MATCH('Buildings, Fleet &amp; Equipment'!N$7,'Emission factors'!$K$2:$V$2,0)))*$G33)</f>
        <v/>
      </c>
      <c r="O33" s="214" t="str">
        <f t="array" ref="O33">IF(OR($C33="",$E33=""),"",(INDEX('Emission factors'!$K$3:$V$201,MATCH('Buildings, Fleet &amp; Equipment'!$C33&amp;$D33,'Emission factors'!$J$3:$J$201&amp;'Emission factors'!$K$3:$K$201,0),MATCH('Buildings, Fleet &amp; Equipment'!O$7,'Emission factors'!$K$2:$V$2,0)))*$G33)</f>
        <v/>
      </c>
      <c r="P33" s="214" t="str">
        <f t="array" ref="P33">IF(OR($C33="",$E33=""),"",(INDEX('Emission factors'!$K$3:$V$201,MATCH('Buildings, Fleet &amp; Equipment'!$C33&amp;$D33,'Emission factors'!$J$3:$J$201&amp;'Emission factors'!$K$3:$K$201,0),MATCH('Buildings, Fleet &amp; Equipment'!P$7,'Emission factors'!$K$2:$V$2,0)))*$G33)</f>
        <v/>
      </c>
      <c r="Q33" s="54"/>
    </row>
    <row r="34" spans="1:26" s="1" customFormat="1" ht="15.75" thickBot="1" x14ac:dyDescent="0.3">
      <c r="A34" s="148"/>
      <c r="B34" s="126"/>
      <c r="C34" s="123"/>
      <c r="D34" s="123"/>
      <c r="E34" s="120"/>
      <c r="F34" s="123"/>
      <c r="G34" s="125" t="str">
        <f t="array" ref="G34">IF(OR($C34="",$B34="",$E34="",$F34=""),"",IF(F34=H34,E34,(INDEX('Emission factors'!$K$3:$V$201,MATCH(C34&amp;D34,'Emission factors'!$J$3:$J$201&amp;'Emission factors'!$K$3:$K$201,0),MATCH(G$7,'Emission factors'!$K$2:$V$2,0)))*E34))</f>
        <v/>
      </c>
      <c r="H34" s="29" t="str">
        <f>IF(OR($C34="",$B34="",$E34="",$F34=""),"",INDEX('Emission factors'!$K$3:$V$201,MATCH('Buildings, Fleet &amp; Equipment'!$C34,'Emission factors'!$J$3:$J$201,0),MATCH($H$7,'Emission factors'!$K$2:$V$2,0)))</f>
        <v/>
      </c>
      <c r="I34" s="149" t="str">
        <f t="array" ref="I34">IF(OR(C34="",E34="",BuildingsTable[[#This Row],[Units]]=""),"",INDEX('Emission factors'!$K$3:$V$201,MATCH('Buildings, Fleet &amp; Equipment'!$C34&amp;D34,'Emission factors'!$J$3:$J$201&amp;'Emission factors'!$K$3:$K$201,0),MATCH('Buildings, Fleet &amp; Equipment'!$I$7,'Emission factors'!$K$2:$V$2,0)))</f>
        <v/>
      </c>
      <c r="J34" s="213" t="str">
        <f>IF(OR(G34="",I34=""),"",SUM(BuildingsTable[[#This Row],[Direct]:[Indirect WTT]]))</f>
        <v/>
      </c>
      <c r="K34" s="122"/>
      <c r="L34" s="214" t="str">
        <f t="array" ref="L34">IF(OR($C34="",$E34=""),"",(INDEX('Emission factors'!$K$3:$V$201,MATCH('Buildings, Fleet &amp; Equipment'!$C34&amp;$D34,'Emission factors'!$J$3:$J$201&amp;'Emission factors'!$K$3:$K$201,0),MATCH('Buildings, Fleet &amp; Equipment'!L$7,'Emission factors'!$K$2:$V$2,0)))*$G34)</f>
        <v/>
      </c>
      <c r="M34" s="214" t="str">
        <f t="array" ref="M34">IF(OR($C34="",$E34=""),"",(INDEX('Emission factors'!$K$3:$V$201,MATCH('Buildings, Fleet &amp; Equipment'!$C34&amp;$D34,'Emission factors'!$J$3:$J$201&amp;'Emission factors'!$K$3:$K$201,0),MATCH('Buildings, Fleet &amp; Equipment'!M$7,'Emission factors'!$K$2:$V$2,0)))*$G34)</f>
        <v/>
      </c>
      <c r="N34" s="214" t="str">
        <f t="array" ref="N34">IF(OR($C34="",$E34=""),"",(INDEX('Emission factors'!$K$3:$V$201,MATCH('Buildings, Fleet &amp; Equipment'!$C34&amp;$D34,'Emission factors'!$J$3:$J$201&amp;'Emission factors'!$K$3:$K$201,0),MATCH('Buildings, Fleet &amp; Equipment'!N$7,'Emission factors'!$K$2:$V$2,0)))*$G34)</f>
        <v/>
      </c>
      <c r="O34" s="214" t="str">
        <f t="array" ref="O34">IF(OR($C34="",$E34=""),"",(INDEX('Emission factors'!$K$3:$V$201,MATCH('Buildings, Fleet &amp; Equipment'!$C34&amp;$D34,'Emission factors'!$J$3:$J$201&amp;'Emission factors'!$K$3:$K$201,0),MATCH('Buildings, Fleet &amp; Equipment'!O$7,'Emission factors'!$K$2:$V$2,0)))*$G34)</f>
        <v/>
      </c>
      <c r="P34" s="214" t="str">
        <f t="array" ref="P34">IF(OR($C34="",$E34=""),"",(INDEX('Emission factors'!$K$3:$V$201,MATCH('Buildings, Fleet &amp; Equipment'!$C34&amp;$D34,'Emission factors'!$J$3:$J$201&amp;'Emission factors'!$K$3:$K$201,0),MATCH('Buildings, Fleet &amp; Equipment'!P$7,'Emission factors'!$K$2:$V$2,0)))*$G34)</f>
        <v/>
      </c>
      <c r="Q34" s="54"/>
    </row>
    <row r="35" spans="1:26" s="1" customFormat="1" ht="13.35" customHeight="1" thickBot="1" x14ac:dyDescent="0.3">
      <c r="A35" s="148"/>
      <c r="B35" s="126"/>
      <c r="C35" s="123"/>
      <c r="D35" s="123"/>
      <c r="E35" s="120"/>
      <c r="F35" s="123"/>
      <c r="G35" s="125" t="str">
        <f t="array" ref="G35">IF(OR($C35="",$B35="",$E35="",$F35=""),"",IF(F35=H35,E35,(INDEX('Emission factors'!$K$3:$V$201,MATCH(C35&amp;D35,'Emission factors'!$J$3:$J$201&amp;'Emission factors'!$K$3:$K$201,0),MATCH(G$7,'Emission factors'!$K$2:$V$2,0)))*E35))</f>
        <v/>
      </c>
      <c r="H35" s="29" t="str">
        <f>IF(OR($C35="",$B35="",$E35="",$F35=""),"",INDEX('Emission factors'!$K$3:$V$201,MATCH('Buildings, Fleet &amp; Equipment'!$C35,'Emission factors'!$J$3:$J$201,0),MATCH($H$7,'Emission factors'!$K$2:$V$2,0)))</f>
        <v/>
      </c>
      <c r="I35" s="149" t="str">
        <f t="array" ref="I35">IF(OR(C35="",E35="",BuildingsTable[[#This Row],[Units]]=""),"",INDEX('Emission factors'!$K$3:$V$201,MATCH('Buildings, Fleet &amp; Equipment'!$C35&amp;D35,'Emission factors'!$J$3:$J$201&amp;'Emission factors'!$K$3:$K$201,0),MATCH('Buildings, Fleet &amp; Equipment'!$I$7,'Emission factors'!$K$2:$V$2,0)))</f>
        <v/>
      </c>
      <c r="J35" s="213" t="str">
        <f>IF(OR(G35="",I35=""),"",SUM(BuildingsTable[[#This Row],[Direct]:[Indirect WTT]]))</f>
        <v/>
      </c>
      <c r="K35" s="122"/>
      <c r="L35" s="214" t="str">
        <f t="array" ref="L35">IF(OR($C35="",$E35=""),"",(INDEX('Emission factors'!$K$3:$V$201,MATCH('Buildings, Fleet &amp; Equipment'!$C35&amp;$D35,'Emission factors'!$J$3:$J$201&amp;'Emission factors'!$K$3:$K$201,0),MATCH('Buildings, Fleet &amp; Equipment'!L$7,'Emission factors'!$K$2:$V$2,0)))*$G35)</f>
        <v/>
      </c>
      <c r="M35" s="214" t="str">
        <f t="array" ref="M35">IF(OR($C35="",$E35=""),"",(INDEX('Emission factors'!$K$3:$V$201,MATCH('Buildings, Fleet &amp; Equipment'!$C35&amp;$D35,'Emission factors'!$J$3:$J$201&amp;'Emission factors'!$K$3:$K$201,0),MATCH('Buildings, Fleet &amp; Equipment'!M$7,'Emission factors'!$K$2:$V$2,0)))*$G35)</f>
        <v/>
      </c>
      <c r="N35" s="214" t="str">
        <f t="array" ref="N35">IF(OR($C35="",$E35=""),"",(INDEX('Emission factors'!$K$3:$V$201,MATCH('Buildings, Fleet &amp; Equipment'!$C35&amp;$D35,'Emission factors'!$J$3:$J$201&amp;'Emission factors'!$K$3:$K$201,0),MATCH('Buildings, Fleet &amp; Equipment'!N$7,'Emission factors'!$K$2:$V$2,0)))*$G35)</f>
        <v/>
      </c>
      <c r="O35" s="214" t="str">
        <f t="array" ref="O35">IF(OR($C35="",$E35=""),"",(INDEX('Emission factors'!$K$3:$V$201,MATCH('Buildings, Fleet &amp; Equipment'!$C35&amp;$D35,'Emission factors'!$J$3:$J$201&amp;'Emission factors'!$K$3:$K$201,0),MATCH('Buildings, Fleet &amp; Equipment'!O$7,'Emission factors'!$K$2:$V$2,0)))*$G35)</f>
        <v/>
      </c>
      <c r="P35" s="214" t="str">
        <f t="array" ref="P35">IF(OR($C35="",$E35=""),"",(INDEX('Emission factors'!$K$3:$V$201,MATCH('Buildings, Fleet &amp; Equipment'!$C35&amp;$D35,'Emission factors'!$J$3:$J$201&amp;'Emission factors'!$K$3:$K$201,0),MATCH('Buildings, Fleet &amp; Equipment'!P$7,'Emission factors'!$K$2:$V$2,0)))*$G35)</f>
        <v/>
      </c>
      <c r="Q35" s="54"/>
    </row>
    <row r="36" spans="1:26" s="1" customFormat="1" ht="15.75" thickBot="1" x14ac:dyDescent="0.3">
      <c r="A36" s="35"/>
      <c r="B36" s="126"/>
      <c r="C36" s="123"/>
      <c r="D36" s="123"/>
      <c r="E36" s="120"/>
      <c r="F36" s="123"/>
      <c r="G36" s="125" t="str">
        <f t="array" ref="G36">IF(OR($C36="",$B36="",$E36="",$F36=""),"",IF(F36=H36,E36,(INDEX('Emission factors'!$K$3:$V$201,MATCH(C36&amp;D36,'Emission factors'!$J$3:$J$201&amp;'Emission factors'!$K$3:$K$201,0),MATCH(G$7,'Emission factors'!$K$2:$V$2,0)))*E36))</f>
        <v/>
      </c>
      <c r="H36" s="29" t="str">
        <f>IF(OR($C36="",$B36="",$E36="",$F36=""),"",INDEX('Emission factors'!$K$3:$V$201,MATCH('Buildings, Fleet &amp; Equipment'!$C36,'Emission factors'!$J$3:$J$201,0),MATCH($H$7,'Emission factors'!$K$2:$V$2,0)))</f>
        <v/>
      </c>
      <c r="I36" s="149" t="str">
        <f t="array" ref="I36">IF(OR(C36="",E36="",BuildingsTable[[#This Row],[Units]]=""),"",INDEX('Emission factors'!$K$3:$V$201,MATCH('Buildings, Fleet &amp; Equipment'!$C36&amp;D36,'Emission factors'!$J$3:$J$201&amp;'Emission factors'!$K$3:$K$201,0),MATCH('Buildings, Fleet &amp; Equipment'!$I$7,'Emission factors'!$K$2:$V$2,0)))</f>
        <v/>
      </c>
      <c r="J36" s="213" t="str">
        <f>IF(OR(G36="",I36=""),"",SUM(BuildingsTable[[#This Row],[Direct]:[Indirect WTT]]))</f>
        <v/>
      </c>
      <c r="K36" s="122"/>
      <c r="L36" s="214" t="str">
        <f t="array" ref="L36">IF(OR($C36="",$E36=""),"",(INDEX('Emission factors'!$K$3:$V$201,MATCH('Buildings, Fleet &amp; Equipment'!$C36&amp;$D36,'Emission factors'!$J$3:$J$201&amp;'Emission factors'!$K$3:$K$201,0),MATCH('Buildings, Fleet &amp; Equipment'!L$7,'Emission factors'!$K$2:$V$2,0)))*$G36)</f>
        <v/>
      </c>
      <c r="M36" s="214" t="str">
        <f t="array" ref="M36">IF(OR($C36="",$E36=""),"",(INDEX('Emission factors'!$K$3:$V$201,MATCH('Buildings, Fleet &amp; Equipment'!$C36&amp;$D36,'Emission factors'!$J$3:$J$201&amp;'Emission factors'!$K$3:$K$201,0),MATCH('Buildings, Fleet &amp; Equipment'!M$7,'Emission factors'!$K$2:$V$2,0)))*$G36)</f>
        <v/>
      </c>
      <c r="N36" s="214" t="str">
        <f t="array" ref="N36">IF(OR($C36="",$E36=""),"",(INDEX('Emission factors'!$K$3:$V$201,MATCH('Buildings, Fleet &amp; Equipment'!$C36&amp;$D36,'Emission factors'!$J$3:$J$201&amp;'Emission factors'!$K$3:$K$201,0),MATCH('Buildings, Fleet &amp; Equipment'!N$7,'Emission factors'!$K$2:$V$2,0)))*$G36)</f>
        <v/>
      </c>
      <c r="O36" s="214" t="str">
        <f t="array" ref="O36">IF(OR($C36="",$E36=""),"",(INDEX('Emission factors'!$K$3:$V$201,MATCH('Buildings, Fleet &amp; Equipment'!$C36&amp;$D36,'Emission factors'!$J$3:$J$201&amp;'Emission factors'!$K$3:$K$201,0),MATCH('Buildings, Fleet &amp; Equipment'!O$7,'Emission factors'!$K$2:$V$2,0)))*$G36)</f>
        <v/>
      </c>
      <c r="P36" s="214" t="str">
        <f t="array" ref="P36">IF(OR($C36="",$E36=""),"",(INDEX('Emission factors'!$K$3:$V$201,MATCH('Buildings, Fleet &amp; Equipment'!$C36&amp;$D36,'Emission factors'!$J$3:$J$201&amp;'Emission factors'!$K$3:$K$201,0),MATCH('Buildings, Fleet &amp; Equipment'!P$7,'Emission factors'!$K$2:$V$2,0)))*$G36)</f>
        <v/>
      </c>
      <c r="Q36" s="54"/>
    </row>
    <row r="37" spans="1:26" s="1" customFormat="1" ht="15.75" thickBot="1" x14ac:dyDescent="0.3">
      <c r="A37" s="35"/>
      <c r="B37" s="126"/>
      <c r="C37" s="123"/>
      <c r="D37" s="123"/>
      <c r="E37" s="120"/>
      <c r="F37" s="123"/>
      <c r="G37" s="125" t="str">
        <f t="array" ref="G37">IF(OR($C37="",$B37="",$E37="",$F37=""),"",IF(F37=H37,E37,(INDEX('Emission factors'!$K$3:$V$201,MATCH(C37&amp;D37,'Emission factors'!$J$3:$J$201&amp;'Emission factors'!$K$3:$K$201,0),MATCH(G$7,'Emission factors'!$K$2:$V$2,0)))*E37))</f>
        <v/>
      </c>
      <c r="H37" s="29" t="str">
        <f>IF(OR($C37="",$B37="",$E37="",$F37=""),"",INDEX('Emission factors'!$K$3:$V$201,MATCH('Buildings, Fleet &amp; Equipment'!$C37,'Emission factors'!$J$3:$J$201,0),MATCH($H$7,'Emission factors'!$K$2:$V$2,0)))</f>
        <v/>
      </c>
      <c r="I37" s="149" t="str">
        <f t="array" ref="I37">IF(OR(C37="",E37="",BuildingsTable[[#This Row],[Units]]=""),"",INDEX('Emission factors'!$K$3:$V$201,MATCH('Buildings, Fleet &amp; Equipment'!$C37&amp;D37,'Emission factors'!$J$3:$J$201&amp;'Emission factors'!$K$3:$K$201,0),MATCH('Buildings, Fleet &amp; Equipment'!$I$7,'Emission factors'!$K$2:$V$2,0)))</f>
        <v/>
      </c>
      <c r="J37" s="213" t="str">
        <f>IF(OR(G37="",I37=""),"",SUM(BuildingsTable[[#This Row],[Direct]:[Indirect WTT]]))</f>
        <v/>
      </c>
      <c r="K37" s="124"/>
      <c r="L37" s="214" t="str">
        <f t="array" ref="L37">IF(OR($C37="",$E37=""),"",(INDEX('Emission factors'!$K$3:$V$201,MATCH('Buildings, Fleet &amp; Equipment'!$C37&amp;$D37,'Emission factors'!$J$3:$J$201&amp;'Emission factors'!$K$3:$K$201,0),MATCH('Buildings, Fleet &amp; Equipment'!L$7,'Emission factors'!$K$2:$V$2,0)))*$G37)</f>
        <v/>
      </c>
      <c r="M37" s="214" t="str">
        <f t="array" ref="M37">IF(OR($C37="",$E37=""),"",(INDEX('Emission factors'!$K$3:$V$201,MATCH('Buildings, Fleet &amp; Equipment'!$C37&amp;$D37,'Emission factors'!$J$3:$J$201&amp;'Emission factors'!$K$3:$K$201,0),MATCH('Buildings, Fleet &amp; Equipment'!M$7,'Emission factors'!$K$2:$V$2,0)))*$G37)</f>
        <v/>
      </c>
      <c r="N37" s="214" t="str">
        <f t="array" ref="N37">IF(OR($C37="",$E37=""),"",(INDEX('Emission factors'!$K$3:$V$201,MATCH('Buildings, Fleet &amp; Equipment'!$C37&amp;$D37,'Emission factors'!$J$3:$J$201&amp;'Emission factors'!$K$3:$K$201,0),MATCH('Buildings, Fleet &amp; Equipment'!N$7,'Emission factors'!$K$2:$V$2,0)))*$G37)</f>
        <v/>
      </c>
      <c r="O37" s="214" t="str">
        <f t="array" ref="O37">IF(OR($C37="",$E37=""),"",(INDEX('Emission factors'!$K$3:$V$201,MATCH('Buildings, Fleet &amp; Equipment'!$C37&amp;$D37,'Emission factors'!$J$3:$J$201&amp;'Emission factors'!$K$3:$K$201,0),MATCH('Buildings, Fleet &amp; Equipment'!O$7,'Emission factors'!$K$2:$V$2,0)))*$G37)</f>
        <v/>
      </c>
      <c r="P37" s="214" t="str">
        <f t="array" ref="P37">IF(OR($C37="",$E37=""),"",(INDEX('Emission factors'!$K$3:$V$201,MATCH('Buildings, Fleet &amp; Equipment'!$C37&amp;$D37,'Emission factors'!$J$3:$J$201&amp;'Emission factors'!$K$3:$K$201,0),MATCH('Buildings, Fleet &amp; Equipment'!P$7,'Emission factors'!$K$2:$V$2,0)))*$G37)</f>
        <v/>
      </c>
      <c r="Q37" s="54"/>
    </row>
    <row r="38" spans="1:26" s="1" customFormat="1" x14ac:dyDescent="0.25">
      <c r="A38" s="44"/>
      <c r="B38" s="46"/>
      <c r="C38" s="46"/>
      <c r="D38" s="46"/>
      <c r="E38" s="27"/>
      <c r="F38" s="27"/>
      <c r="G38" s="27"/>
      <c r="H38" s="27"/>
      <c r="I38" s="27"/>
      <c r="J38" s="27"/>
      <c r="K38" s="27"/>
      <c r="L38" s="27"/>
      <c r="M38" s="27"/>
      <c r="N38" s="27"/>
      <c r="O38" s="27"/>
      <c r="P38" s="27"/>
      <c r="Q38" s="27"/>
      <c r="R38" s="27"/>
      <c r="S38" s="27"/>
      <c r="T38" s="27"/>
      <c r="U38" s="27"/>
      <c r="V38" s="27"/>
    </row>
    <row r="39" spans="1:26" s="1" customFormat="1" x14ac:dyDescent="0.25">
      <c r="A39" s="44"/>
      <c r="B39" s="46"/>
      <c r="C39" s="46"/>
      <c r="D39" s="46"/>
      <c r="E39" s="27"/>
      <c r="F39" s="27"/>
      <c r="G39" s="27"/>
      <c r="H39" s="27"/>
      <c r="I39" s="27"/>
      <c r="J39" s="27"/>
      <c r="K39" s="27"/>
      <c r="L39" s="27"/>
      <c r="M39" s="27"/>
      <c r="N39" s="27"/>
      <c r="O39" s="27"/>
      <c r="P39" s="27"/>
      <c r="Q39" s="27"/>
      <c r="R39" s="27"/>
      <c r="S39" s="27"/>
      <c r="T39" s="27"/>
      <c r="U39" s="27"/>
      <c r="V39" s="27"/>
      <c r="W39" s="64"/>
      <c r="X39" s="64"/>
      <c r="Y39" s="64"/>
      <c r="Z39" s="64"/>
    </row>
    <row r="40" spans="1:26" s="1" customFormat="1" ht="20.25" thickBot="1" x14ac:dyDescent="0.4">
      <c r="A40" s="35"/>
      <c r="B40" s="150" t="s">
        <v>95</v>
      </c>
      <c r="I40" s="128" t="str">
        <f>IFERROR(IF(SUM(FleetTableFuel[Total EF (kgCO2e/unit)])&gt;0,"No errors in this table","No data entered"), "There is an error in this table, see highlighted row(s)")</f>
        <v>No data entered</v>
      </c>
      <c r="L40" s="40" t="s">
        <v>775</v>
      </c>
      <c r="T40" s="44"/>
      <c r="W40" s="64"/>
      <c r="X40" s="64"/>
      <c r="Y40" s="64"/>
      <c r="Z40" s="64"/>
    </row>
    <row r="41" spans="1:26" s="1" customFormat="1" ht="33" customHeight="1" thickBot="1" x14ac:dyDescent="0.3">
      <c r="A41" s="35"/>
      <c r="B41" s="41" t="s">
        <v>96</v>
      </c>
      <c r="C41" s="28" t="s">
        <v>97</v>
      </c>
      <c r="D41" s="28" t="s">
        <v>64</v>
      </c>
      <c r="E41" s="28" t="s">
        <v>67</v>
      </c>
      <c r="F41" s="28" t="s">
        <v>68</v>
      </c>
      <c r="G41" s="28" t="s">
        <v>69</v>
      </c>
      <c r="H41" s="28" t="s">
        <v>70</v>
      </c>
      <c r="I41" s="28" t="s">
        <v>773</v>
      </c>
      <c r="J41" s="28" t="s">
        <v>774</v>
      </c>
      <c r="K41" s="28" t="s">
        <v>72</v>
      </c>
      <c r="L41" s="8" t="s">
        <v>14</v>
      </c>
      <c r="M41" s="8" t="s">
        <v>73</v>
      </c>
      <c r="N41" s="8" t="s">
        <v>74</v>
      </c>
      <c r="O41" s="8" t="s">
        <v>75</v>
      </c>
      <c r="P41" s="8" t="s">
        <v>76</v>
      </c>
    </row>
    <row r="42" spans="1:26" s="1" customFormat="1" ht="15.75" thickBot="1" x14ac:dyDescent="0.3">
      <c r="A42" s="35"/>
      <c r="B42" s="126"/>
      <c r="C42" s="123"/>
      <c r="D42" s="123"/>
      <c r="E42" s="120"/>
      <c r="F42" s="123"/>
      <c r="G42" s="125" t="str">
        <f t="array" ref="G42">IF(OR($C42="",$B42="",$E42="",$F42=""),"",IF(F42=H42,E42,(INDEX('Emission factors'!$K$3:$V$201,MATCH(C42&amp;D42,'Emission factors'!$J$3:$J$201&amp;'Emission factors'!$K$3:$K$201,0),MATCH(G$41,'Emission factors'!$K$2:$V$2,0)))*E42))</f>
        <v/>
      </c>
      <c r="H42" s="29" t="str">
        <f>IF(OR($C42="",$B42="",$E42="",$F42=""),"",INDEX('Emission factors'!$K$3:$V$201,MATCH('Buildings, Fleet &amp; Equipment'!$C42,'Emission factors'!$J$3:$J$201,0),MATCH($H$41,'Emission factors'!$K$2:$V$2,0)))</f>
        <v/>
      </c>
      <c r="I42" s="149" t="str">
        <f t="array" ref="I42">IF(OR(C42="",E42="",FleetTableFuel[[#This Row],[Units]]=""),"",INDEX('Emission factors'!$K$3:$V$201,MATCH('Buildings, Fleet &amp; Equipment'!$C42&amp;D42,'Emission factors'!$J$3:$J$201&amp;'Emission factors'!$K$3:$K$201,0),MATCH('Buildings, Fleet &amp; Equipment'!$I$41,'Emission factors'!$K$2:$V$2,0)))</f>
        <v/>
      </c>
      <c r="J42" s="213" t="str">
        <f>IF(OR(G42="",I42=""),"",SUM(FleetTableFuel[[#This Row],[Direct]:[Indirect WTT]]))</f>
        <v/>
      </c>
      <c r="K42" s="122"/>
      <c r="L42" s="214" t="str">
        <f t="array" ref="L42">IF(OR($C42="",$E42=""),"",(INDEX('Emission factors'!$K$3:$V$201,MATCH('Buildings, Fleet &amp; Equipment'!$C42&amp;$D42,'Emission factors'!$J$3:$J$201&amp;'Emission factors'!$K$3:$K$201,0),MATCH('Buildings, Fleet &amp; Equipment'!L$7,'Emission factors'!$K$2:$V$2,0)))*$G42)</f>
        <v/>
      </c>
      <c r="M42" s="214" t="str">
        <f t="array" ref="M42">IF(OR($C42="",$E42=""),"",(INDEX('Emission factors'!$K$3:$V$201,MATCH('Buildings, Fleet &amp; Equipment'!$C42&amp;$D42,'Emission factors'!$J$3:$J$201&amp;'Emission factors'!$K$3:$K$201,0),MATCH('Buildings, Fleet &amp; Equipment'!M$7,'Emission factors'!$K$2:$V$2,0)))*$G42)</f>
        <v/>
      </c>
      <c r="N42" s="214" t="str">
        <f t="array" ref="N42">IF(OR($C42="",$E42=""),"",(INDEX('Emission factors'!$K$3:$V$201,MATCH('Buildings, Fleet &amp; Equipment'!$C42&amp;$D42,'Emission factors'!$J$3:$J$201&amp;'Emission factors'!$K$3:$K$201,0),MATCH('Buildings, Fleet &amp; Equipment'!N$7,'Emission factors'!$K$2:$V$2,0)))*$G42)</f>
        <v/>
      </c>
      <c r="O42" s="214" t="str">
        <f t="array" ref="O42">IF(OR($C42="",$E42=""),"",(INDEX('Emission factors'!$K$3:$V$201,MATCH('Buildings, Fleet &amp; Equipment'!$C42&amp;$D42,'Emission factors'!$J$3:$J$201&amp;'Emission factors'!$K$3:$K$201,0),MATCH('Buildings, Fleet &amp; Equipment'!O$7,'Emission factors'!$K$2:$V$2,0)))*$G42)</f>
        <v/>
      </c>
      <c r="P42" s="214" t="str">
        <f t="array" ref="P42">IF(OR($C42="",$E42=""),"",(INDEX('Emission factors'!$K$3:$V$201,MATCH('Buildings, Fleet &amp; Equipment'!$C42&amp;$D42,'Emission factors'!$J$3:$J$201&amp;'Emission factors'!$K$3:$K$201,0),MATCH('Buildings, Fleet &amp; Equipment'!P$7,'Emission factors'!$K$2:$V$2,0)))*$G42)</f>
        <v/>
      </c>
    </row>
    <row r="43" spans="1:26" s="1" customFormat="1" ht="15.75" thickBot="1" x14ac:dyDescent="0.3">
      <c r="A43" s="35"/>
      <c r="B43" s="126"/>
      <c r="C43" s="123"/>
      <c r="D43" s="123"/>
      <c r="E43" s="120"/>
      <c r="F43" s="123"/>
      <c r="G43" s="125" t="str">
        <f t="array" ref="G43">IF(OR($C43="",$B43="",$E43="",$F43=""),"",IF(F43=H43,E43,(INDEX('Emission factors'!$K$3:$V$201,MATCH(C43&amp;D43,'Emission factors'!$J$3:$J$201&amp;'Emission factors'!$K$3:$K$201,0),MATCH(G$41,'Emission factors'!$K$2:$V$2,0)))*E43))</f>
        <v/>
      </c>
      <c r="H43" s="29" t="str">
        <f>IF(OR($C43="",$B43="",$E43="",$F43=""),"",INDEX('Emission factors'!$K$3:$V$201,MATCH('Buildings, Fleet &amp; Equipment'!$C43,'Emission factors'!$J$3:$J$201,0),MATCH($H$41,'Emission factors'!$K$2:$V$2,0)))</f>
        <v/>
      </c>
      <c r="I43" s="149" t="str">
        <f t="array" ref="I43">IF(OR(C43="",E43="",FleetTableFuel[[#This Row],[Units]]=""),"",INDEX('Emission factors'!$K$3:$V$201,MATCH('Buildings, Fleet &amp; Equipment'!$C43&amp;D43,'Emission factors'!$J$3:$J$201&amp;'Emission factors'!$K$3:$K$201,0),MATCH('Buildings, Fleet &amp; Equipment'!$I$41,'Emission factors'!$K$2:$V$2,0)))</f>
        <v/>
      </c>
      <c r="J43" s="213" t="str">
        <f>IF(OR(G43="",I43=""),"",SUM(FleetTableFuel[[#This Row],[Direct]:[Indirect WTT]]))</f>
        <v/>
      </c>
      <c r="K43" s="122"/>
      <c r="L43" s="214" t="str">
        <f t="array" ref="L43">IF(OR($C43="",$E43=""),"",(INDEX('Emission factors'!$K$3:$V$201,MATCH('Buildings, Fleet &amp; Equipment'!$C43&amp;$D43,'Emission factors'!$J$3:$J$201&amp;'Emission factors'!$K$3:$K$201,0),MATCH('Buildings, Fleet &amp; Equipment'!L$7,'Emission factors'!$K$2:$V$2,0)))*$G43)</f>
        <v/>
      </c>
      <c r="M43" s="214" t="str">
        <f t="array" ref="M43">IF(OR($C43="",$E43=""),"",(INDEX('Emission factors'!$K$3:$V$201,MATCH('Buildings, Fleet &amp; Equipment'!$C43&amp;$D43,'Emission factors'!$J$3:$J$201&amp;'Emission factors'!$K$3:$K$201,0),MATCH('Buildings, Fleet &amp; Equipment'!M$7,'Emission factors'!$K$2:$V$2,0)))*$G43)</f>
        <v/>
      </c>
      <c r="N43" s="214" t="str">
        <f t="array" ref="N43">IF(OR($C43="",$E43=""),"",(INDEX('Emission factors'!$K$3:$V$201,MATCH('Buildings, Fleet &amp; Equipment'!$C43&amp;$D43,'Emission factors'!$J$3:$J$201&amp;'Emission factors'!$K$3:$K$201,0),MATCH('Buildings, Fleet &amp; Equipment'!N$7,'Emission factors'!$K$2:$V$2,0)))*$G43)</f>
        <v/>
      </c>
      <c r="O43" s="214" t="str">
        <f t="array" ref="O43">IF(OR($C43="",$E43=""),"",(INDEX('Emission factors'!$K$3:$V$201,MATCH('Buildings, Fleet &amp; Equipment'!$C43&amp;$D43,'Emission factors'!$J$3:$J$201&amp;'Emission factors'!$K$3:$K$201,0),MATCH('Buildings, Fleet &amp; Equipment'!O$7,'Emission factors'!$K$2:$V$2,0)))*$G43)</f>
        <v/>
      </c>
      <c r="P43" s="214" t="str">
        <f t="array" ref="P43">IF(OR($C43="",$E43=""),"",(INDEX('Emission factors'!$K$3:$V$201,MATCH('Buildings, Fleet &amp; Equipment'!$C43&amp;$D43,'Emission factors'!$J$3:$J$201&amp;'Emission factors'!$K$3:$K$201,0),MATCH('Buildings, Fleet &amp; Equipment'!P$7,'Emission factors'!$K$2:$V$2,0)))*$G43)</f>
        <v/>
      </c>
    </row>
    <row r="44" spans="1:26" s="1" customFormat="1" ht="15.75" thickBot="1" x14ac:dyDescent="0.3">
      <c r="A44" s="35"/>
      <c r="B44" s="126"/>
      <c r="C44" s="123"/>
      <c r="D44" s="123"/>
      <c r="E44" s="120"/>
      <c r="F44" s="123"/>
      <c r="G44" s="125" t="str">
        <f t="array" ref="G44">IF(OR($C44="",$B44="",$E44="",$F44=""),"",IF(F44=H44,E44,(INDEX('Emission factors'!$K$3:$V$201,MATCH(C44&amp;D44,'Emission factors'!$J$3:$J$201&amp;'Emission factors'!$K$3:$K$201,0),MATCH(G$41,'Emission factors'!$K$2:$V$2,0)))*E44))</f>
        <v/>
      </c>
      <c r="H44" s="29" t="str">
        <f>IF(OR($C44="",$B44="",$E44="",$F44=""),"",INDEX('Emission factors'!$K$3:$V$201,MATCH('Buildings, Fleet &amp; Equipment'!$C44,'Emission factors'!$J$3:$J$201,0),MATCH($H$41,'Emission factors'!$K$2:$V$2,0)))</f>
        <v/>
      </c>
      <c r="I44" s="149" t="str">
        <f t="array" ref="I44">IF(OR(C44="",E44="",FleetTableFuel[[#This Row],[Units]]=""),"",INDEX('Emission factors'!$K$3:$V$201,MATCH('Buildings, Fleet &amp; Equipment'!$C44&amp;D44,'Emission factors'!$J$3:$J$201&amp;'Emission factors'!$K$3:$K$201,0),MATCH('Buildings, Fleet &amp; Equipment'!$I$41,'Emission factors'!$K$2:$V$2,0)))</f>
        <v/>
      </c>
      <c r="J44" s="213" t="str">
        <f>IF(OR(G44="",I44=""),"",SUM(FleetTableFuel[[#This Row],[Direct]:[Indirect WTT]]))</f>
        <v/>
      </c>
      <c r="K44" s="122"/>
      <c r="L44" s="214" t="str">
        <f t="array" ref="L44">IF(OR($C44="",$E44=""),"",(INDEX('Emission factors'!$K$3:$V$201,MATCH('Buildings, Fleet &amp; Equipment'!$C44&amp;$D44,'Emission factors'!$J$3:$J$201&amp;'Emission factors'!$K$3:$K$201,0),MATCH('Buildings, Fleet &amp; Equipment'!L$7,'Emission factors'!$K$2:$V$2,0)))*$G44)</f>
        <v/>
      </c>
      <c r="M44" s="214" t="str">
        <f t="array" ref="M44">IF(OR($C44="",$E44=""),"",(INDEX('Emission factors'!$K$3:$V$201,MATCH('Buildings, Fleet &amp; Equipment'!$C44&amp;$D44,'Emission factors'!$J$3:$J$201&amp;'Emission factors'!$K$3:$K$201,0),MATCH('Buildings, Fleet &amp; Equipment'!M$7,'Emission factors'!$K$2:$V$2,0)))*$G44)</f>
        <v/>
      </c>
      <c r="N44" s="214" t="str">
        <f t="array" ref="N44">IF(OR($C44="",$E44=""),"",(INDEX('Emission factors'!$K$3:$V$201,MATCH('Buildings, Fleet &amp; Equipment'!$C44&amp;$D44,'Emission factors'!$J$3:$J$201&amp;'Emission factors'!$K$3:$K$201,0),MATCH('Buildings, Fleet &amp; Equipment'!N$7,'Emission factors'!$K$2:$V$2,0)))*$G44)</f>
        <v/>
      </c>
      <c r="O44" s="214" t="str">
        <f t="array" ref="O44">IF(OR($C44="",$E44=""),"",(INDEX('Emission factors'!$K$3:$V$201,MATCH('Buildings, Fleet &amp; Equipment'!$C44&amp;$D44,'Emission factors'!$J$3:$J$201&amp;'Emission factors'!$K$3:$K$201,0),MATCH('Buildings, Fleet &amp; Equipment'!O$7,'Emission factors'!$K$2:$V$2,0)))*$G44)</f>
        <v/>
      </c>
      <c r="P44" s="214" t="str">
        <f t="array" ref="P44">IF(OR($C44="",$E44=""),"",(INDEX('Emission factors'!$K$3:$V$201,MATCH('Buildings, Fleet &amp; Equipment'!$C44&amp;$D44,'Emission factors'!$J$3:$J$201&amp;'Emission factors'!$K$3:$K$201,0),MATCH('Buildings, Fleet &amp; Equipment'!P$7,'Emission factors'!$K$2:$V$2,0)))*$G44)</f>
        <v/>
      </c>
    </row>
    <row r="45" spans="1:26" s="1" customFormat="1" ht="15.75" thickBot="1" x14ac:dyDescent="0.3">
      <c r="A45" s="35"/>
      <c r="B45" s="126"/>
      <c r="C45" s="123"/>
      <c r="D45" s="123"/>
      <c r="E45" s="120"/>
      <c r="F45" s="123"/>
      <c r="G45" s="125" t="str">
        <f t="array" ref="G45">IF(OR($C45="",$B45="",$E45="",$F45=""),"",IF(F45=H45,E45,(INDEX('Emission factors'!$K$3:$V$201,MATCH(C45&amp;D45,'Emission factors'!$J$3:$J$201&amp;'Emission factors'!$K$3:$K$201,0),MATCH(G$41,'Emission factors'!$K$2:$V$2,0)))*E45))</f>
        <v/>
      </c>
      <c r="H45" s="29" t="str">
        <f>IF(OR($C45="",$B45="",$E45="",$F45=""),"",INDEX('Emission factors'!$K$3:$V$201,MATCH('Buildings, Fleet &amp; Equipment'!$C45,'Emission factors'!$J$3:$J$201,0),MATCH($H$41,'Emission factors'!$K$2:$V$2,0)))</f>
        <v/>
      </c>
      <c r="I45" s="149" t="str">
        <f t="array" ref="I45">IF(OR(C45="",E45="",FleetTableFuel[[#This Row],[Units]]=""),"",INDEX('Emission factors'!$K$3:$V$201,MATCH('Buildings, Fleet &amp; Equipment'!$C45&amp;D45,'Emission factors'!$J$3:$J$201&amp;'Emission factors'!$K$3:$K$201,0),MATCH('Buildings, Fleet &amp; Equipment'!$I$41,'Emission factors'!$K$2:$V$2,0)))</f>
        <v/>
      </c>
      <c r="J45" s="213" t="str">
        <f>IF(OR(G45="",I45=""),"",SUM(FleetTableFuel[[#This Row],[Direct]:[Indirect WTT]]))</f>
        <v/>
      </c>
      <c r="K45" s="122"/>
      <c r="L45" s="214" t="str">
        <f t="array" ref="L45">IF(OR($C45="",$E45=""),"",(INDEX('Emission factors'!$K$3:$V$201,MATCH('Buildings, Fleet &amp; Equipment'!$C45&amp;$D45,'Emission factors'!$J$3:$J$201&amp;'Emission factors'!$K$3:$K$201,0),MATCH('Buildings, Fleet &amp; Equipment'!L$7,'Emission factors'!$K$2:$V$2,0)))*$G45)</f>
        <v/>
      </c>
      <c r="M45" s="214" t="str">
        <f t="array" ref="M45">IF(OR($C45="",$E45=""),"",(INDEX('Emission factors'!$K$3:$V$201,MATCH('Buildings, Fleet &amp; Equipment'!$C45&amp;$D45,'Emission factors'!$J$3:$J$201&amp;'Emission factors'!$K$3:$K$201,0),MATCH('Buildings, Fleet &amp; Equipment'!M$7,'Emission factors'!$K$2:$V$2,0)))*$G45)</f>
        <v/>
      </c>
      <c r="N45" s="214" t="str">
        <f t="array" ref="N45">IF(OR($C45="",$E45=""),"",(INDEX('Emission factors'!$K$3:$V$201,MATCH('Buildings, Fleet &amp; Equipment'!$C45&amp;$D45,'Emission factors'!$J$3:$J$201&amp;'Emission factors'!$K$3:$K$201,0),MATCH('Buildings, Fleet &amp; Equipment'!N$7,'Emission factors'!$K$2:$V$2,0)))*$G45)</f>
        <v/>
      </c>
      <c r="O45" s="214" t="str">
        <f t="array" ref="O45">IF(OR($C45="",$E45=""),"",(INDEX('Emission factors'!$K$3:$V$201,MATCH('Buildings, Fleet &amp; Equipment'!$C45&amp;$D45,'Emission factors'!$J$3:$J$201&amp;'Emission factors'!$K$3:$K$201,0),MATCH('Buildings, Fleet &amp; Equipment'!O$7,'Emission factors'!$K$2:$V$2,0)))*$G45)</f>
        <v/>
      </c>
      <c r="P45" s="214" t="str">
        <f t="array" ref="P45">IF(OR($C45="",$E45=""),"",(INDEX('Emission factors'!$K$3:$V$201,MATCH('Buildings, Fleet &amp; Equipment'!$C45&amp;$D45,'Emission factors'!$J$3:$J$201&amp;'Emission factors'!$K$3:$K$201,0),MATCH('Buildings, Fleet &amp; Equipment'!P$7,'Emission factors'!$K$2:$V$2,0)))*$G45)</f>
        <v/>
      </c>
    </row>
    <row r="46" spans="1:26" s="1" customFormat="1" ht="15.75" thickBot="1" x14ac:dyDescent="0.3">
      <c r="A46" s="35"/>
      <c r="B46" s="126"/>
      <c r="C46" s="123"/>
      <c r="D46" s="123"/>
      <c r="E46" s="120"/>
      <c r="F46" s="123"/>
      <c r="G46" s="125" t="str">
        <f t="array" ref="G46">IF(OR($C46="",$B46="",$E46="",$F46=""),"",IF(F46=H46,E46,(INDEX('Emission factors'!$K$3:$V$201,MATCH(C46&amp;D46,'Emission factors'!$J$3:$J$201&amp;'Emission factors'!$K$3:$K$201,0),MATCH(G$41,'Emission factors'!$K$2:$V$2,0)))*E46))</f>
        <v/>
      </c>
      <c r="H46" s="29" t="str">
        <f>IF(OR($C46="",$B46="",$E46="",$F46=""),"",INDEX('Emission factors'!$K$3:$V$201,MATCH('Buildings, Fleet &amp; Equipment'!$C46,'Emission factors'!$J$3:$J$201,0),MATCH($H$41,'Emission factors'!$K$2:$V$2,0)))</f>
        <v/>
      </c>
      <c r="I46" s="149" t="str">
        <f t="array" ref="I46">IF(OR(C46="",E46="",FleetTableFuel[[#This Row],[Units]]=""),"",INDEX('Emission factors'!$K$3:$V$201,MATCH('Buildings, Fleet &amp; Equipment'!$C46&amp;D46,'Emission factors'!$J$3:$J$201&amp;'Emission factors'!$K$3:$K$201,0),MATCH('Buildings, Fleet &amp; Equipment'!$I$41,'Emission factors'!$K$2:$V$2,0)))</f>
        <v/>
      </c>
      <c r="J46" s="213" t="str">
        <f>IF(OR(G46="",I46=""),"",SUM(FleetTableFuel[[#This Row],[Direct]:[Indirect WTT]]))</f>
        <v/>
      </c>
      <c r="K46" s="122"/>
      <c r="L46" s="214" t="str">
        <f t="array" ref="L46">IF(OR($C46="",$E46=""),"",(INDEX('Emission factors'!$K$3:$V$201,MATCH('Buildings, Fleet &amp; Equipment'!$C46&amp;$D46,'Emission factors'!$J$3:$J$201&amp;'Emission factors'!$K$3:$K$201,0),MATCH('Buildings, Fleet &amp; Equipment'!L$7,'Emission factors'!$K$2:$V$2,0)))*$G46)</f>
        <v/>
      </c>
      <c r="M46" s="214" t="str">
        <f t="array" ref="M46">IF(OR($C46="",$E46=""),"",(INDEX('Emission factors'!$K$3:$V$201,MATCH('Buildings, Fleet &amp; Equipment'!$C46&amp;$D46,'Emission factors'!$J$3:$J$201&amp;'Emission factors'!$K$3:$K$201,0),MATCH('Buildings, Fleet &amp; Equipment'!M$7,'Emission factors'!$K$2:$V$2,0)))*$G46)</f>
        <v/>
      </c>
      <c r="N46" s="214" t="str">
        <f t="array" ref="N46">IF(OR($C46="",$E46=""),"",(INDEX('Emission factors'!$K$3:$V$201,MATCH('Buildings, Fleet &amp; Equipment'!$C46&amp;$D46,'Emission factors'!$J$3:$J$201&amp;'Emission factors'!$K$3:$K$201,0),MATCH('Buildings, Fleet &amp; Equipment'!N$7,'Emission factors'!$K$2:$V$2,0)))*$G46)</f>
        <v/>
      </c>
      <c r="O46" s="214" t="str">
        <f t="array" ref="O46">IF(OR($C46="",$E46=""),"",(INDEX('Emission factors'!$K$3:$V$201,MATCH('Buildings, Fleet &amp; Equipment'!$C46&amp;$D46,'Emission factors'!$J$3:$J$201&amp;'Emission factors'!$K$3:$K$201,0),MATCH('Buildings, Fleet &amp; Equipment'!O$7,'Emission factors'!$K$2:$V$2,0)))*$G46)</f>
        <v/>
      </c>
      <c r="P46" s="214" t="str">
        <f t="array" ref="P46">IF(OR($C46="",$E46=""),"",(INDEX('Emission factors'!$K$3:$V$201,MATCH('Buildings, Fleet &amp; Equipment'!$C46&amp;$D46,'Emission factors'!$J$3:$J$201&amp;'Emission factors'!$K$3:$K$201,0),MATCH('Buildings, Fleet &amp; Equipment'!P$7,'Emission factors'!$K$2:$V$2,0)))*$G46)</f>
        <v/>
      </c>
    </row>
    <row r="47" spans="1:26" s="1" customFormat="1" ht="15.75" thickBot="1" x14ac:dyDescent="0.3">
      <c r="A47" s="35"/>
      <c r="B47" s="126"/>
      <c r="C47" s="123"/>
      <c r="D47" s="123"/>
      <c r="E47" s="120"/>
      <c r="F47" s="123"/>
      <c r="G47" s="125" t="str">
        <f t="array" ref="G47">IF(OR($C47="",$B47="",$E47="",$F47=""),"",IF(F47=H47,E47,(INDEX('Emission factors'!$K$3:$V$201,MATCH(C47&amp;D47,'Emission factors'!$J$3:$J$201&amp;'Emission factors'!$K$3:$K$201,0),MATCH(G$41,'Emission factors'!$K$2:$V$2,0)))*E47))</f>
        <v/>
      </c>
      <c r="H47" s="29" t="str">
        <f>IF(OR($C47="",$B47="",$E47="",$F47=""),"",INDEX('Emission factors'!$K$3:$V$201,MATCH('Buildings, Fleet &amp; Equipment'!$C47,'Emission factors'!$J$3:$J$201,0),MATCH($H$41,'Emission factors'!$K$2:$V$2,0)))</f>
        <v/>
      </c>
      <c r="I47" s="149" t="str">
        <f t="array" ref="I47">IF(OR(C47="",E47="",FleetTableFuel[[#This Row],[Units]]=""),"",INDEX('Emission factors'!$K$3:$V$201,MATCH('Buildings, Fleet &amp; Equipment'!$C47&amp;D47,'Emission factors'!$J$3:$J$201&amp;'Emission factors'!$K$3:$K$201,0),MATCH('Buildings, Fleet &amp; Equipment'!$I$41,'Emission factors'!$K$2:$V$2,0)))</f>
        <v/>
      </c>
      <c r="J47" s="213" t="str">
        <f>IF(OR(G47="",I47=""),"",SUM(FleetTableFuel[[#This Row],[Direct]:[Indirect WTT]]))</f>
        <v/>
      </c>
      <c r="K47" s="122"/>
      <c r="L47" s="214" t="str">
        <f t="array" ref="L47">IF(OR($C47="",$E47=""),"",(INDEX('Emission factors'!$K$3:$V$201,MATCH('Buildings, Fleet &amp; Equipment'!$C47&amp;$D47,'Emission factors'!$J$3:$J$201&amp;'Emission factors'!$K$3:$K$201,0),MATCH('Buildings, Fleet &amp; Equipment'!L$7,'Emission factors'!$K$2:$V$2,0)))*$G47)</f>
        <v/>
      </c>
      <c r="M47" s="214" t="str">
        <f t="array" ref="M47">IF(OR($C47="",$E47=""),"",(INDEX('Emission factors'!$K$3:$V$201,MATCH('Buildings, Fleet &amp; Equipment'!$C47&amp;$D47,'Emission factors'!$J$3:$J$201&amp;'Emission factors'!$K$3:$K$201,0),MATCH('Buildings, Fleet &amp; Equipment'!M$7,'Emission factors'!$K$2:$V$2,0)))*$G47)</f>
        <v/>
      </c>
      <c r="N47" s="214" t="str">
        <f t="array" ref="N47">IF(OR($C47="",$E47=""),"",(INDEX('Emission factors'!$K$3:$V$201,MATCH('Buildings, Fleet &amp; Equipment'!$C47&amp;$D47,'Emission factors'!$J$3:$J$201&amp;'Emission factors'!$K$3:$K$201,0),MATCH('Buildings, Fleet &amp; Equipment'!N$7,'Emission factors'!$K$2:$V$2,0)))*$G47)</f>
        <v/>
      </c>
      <c r="O47" s="214" t="str">
        <f t="array" ref="O47">IF(OR($C47="",$E47=""),"",(INDEX('Emission factors'!$K$3:$V$201,MATCH('Buildings, Fleet &amp; Equipment'!$C47&amp;$D47,'Emission factors'!$J$3:$J$201&amp;'Emission factors'!$K$3:$K$201,0),MATCH('Buildings, Fleet &amp; Equipment'!O$7,'Emission factors'!$K$2:$V$2,0)))*$G47)</f>
        <v/>
      </c>
      <c r="P47" s="214" t="str">
        <f t="array" ref="P47">IF(OR($C47="",$E47=""),"",(INDEX('Emission factors'!$K$3:$V$201,MATCH('Buildings, Fleet &amp; Equipment'!$C47&amp;$D47,'Emission factors'!$J$3:$J$201&amp;'Emission factors'!$K$3:$K$201,0),MATCH('Buildings, Fleet &amp; Equipment'!P$7,'Emission factors'!$K$2:$V$2,0)))*$G47)</f>
        <v/>
      </c>
    </row>
    <row r="48" spans="1:26" s="1" customFormat="1" ht="15.75" thickBot="1" x14ac:dyDescent="0.3">
      <c r="A48" s="35"/>
      <c r="B48" s="126"/>
      <c r="C48" s="123"/>
      <c r="D48" s="123"/>
      <c r="E48" s="120"/>
      <c r="F48" s="123"/>
      <c r="G48" s="125" t="str">
        <f t="array" ref="G48">IF(OR($C48="",$B48="",$E48="",$F48=""),"",IF(F48=H48,E48,(INDEX('Emission factors'!$K$3:$V$201,MATCH(C48&amp;D48,'Emission factors'!$J$3:$J$201&amp;'Emission factors'!$K$3:$K$201,0),MATCH(G$41,'Emission factors'!$K$2:$V$2,0)))*E48))</f>
        <v/>
      </c>
      <c r="H48" s="29"/>
      <c r="I48" s="149" t="str">
        <f t="array" ref="I48">IF(OR(C48="",E48="",FleetTableFuel[[#This Row],[Units]]=""),"",INDEX('Emission factors'!$K$3:$V$201,MATCH('Buildings, Fleet &amp; Equipment'!$C48&amp;D48,'Emission factors'!$J$3:$J$201&amp;'Emission factors'!$K$3:$K$201,0),MATCH('Buildings, Fleet &amp; Equipment'!$I$41,'Emission factors'!$K$2:$V$2,0)))</f>
        <v/>
      </c>
      <c r="J48" s="213" t="str">
        <f>IF(OR(G48="",I48=""),"",SUM(FleetTableFuel[[#This Row],[Direct]:[Indirect WTT]]))</f>
        <v/>
      </c>
      <c r="K48" s="122"/>
      <c r="L48" s="214" t="str">
        <f t="array" ref="L48">IF(OR($C48="",$E48=""),"",(INDEX('Emission factors'!$K$3:$V$201,MATCH('Buildings, Fleet &amp; Equipment'!$C48&amp;$D48,'Emission factors'!$J$3:$J$201&amp;'Emission factors'!$K$3:$K$201,0),MATCH('Buildings, Fleet &amp; Equipment'!L$7,'Emission factors'!$K$2:$V$2,0)))*$G48)</f>
        <v/>
      </c>
      <c r="M48" s="214" t="str">
        <f t="array" ref="M48">IF(OR($C48="",$E48=""),"",(INDEX('Emission factors'!$K$3:$V$201,MATCH('Buildings, Fleet &amp; Equipment'!$C48&amp;$D48,'Emission factors'!$J$3:$J$201&amp;'Emission factors'!$K$3:$K$201,0),MATCH('Buildings, Fleet &amp; Equipment'!M$7,'Emission factors'!$K$2:$V$2,0)))*$G48)</f>
        <v/>
      </c>
      <c r="N48" s="214" t="str">
        <f t="array" ref="N48">IF(OR($C48="",$E48=""),"",(INDEX('Emission factors'!$K$3:$V$201,MATCH('Buildings, Fleet &amp; Equipment'!$C48&amp;$D48,'Emission factors'!$J$3:$J$201&amp;'Emission factors'!$K$3:$K$201,0),MATCH('Buildings, Fleet &amp; Equipment'!N$7,'Emission factors'!$K$2:$V$2,0)))*$G48)</f>
        <v/>
      </c>
      <c r="O48" s="214" t="str">
        <f t="array" ref="O48">IF(OR($C48="",$E48=""),"",(INDEX('Emission factors'!$K$3:$V$201,MATCH('Buildings, Fleet &amp; Equipment'!$C48&amp;$D48,'Emission factors'!$J$3:$J$201&amp;'Emission factors'!$K$3:$K$201,0),MATCH('Buildings, Fleet &amp; Equipment'!O$7,'Emission factors'!$K$2:$V$2,0)))*$G48)</f>
        <v/>
      </c>
      <c r="P48" s="214" t="str">
        <f t="array" ref="P48">IF(OR($C48="",$E48=""),"",(INDEX('Emission factors'!$K$3:$V$201,MATCH('Buildings, Fleet &amp; Equipment'!$C48&amp;$D48,'Emission factors'!$J$3:$J$201&amp;'Emission factors'!$K$3:$K$201,0),MATCH('Buildings, Fleet &amp; Equipment'!P$7,'Emission factors'!$K$2:$V$2,0)))*$G48)</f>
        <v/>
      </c>
    </row>
    <row r="49" spans="1:22" s="1" customFormat="1" ht="15.75" thickBot="1" x14ac:dyDescent="0.3">
      <c r="A49" s="35"/>
      <c r="B49" s="126"/>
      <c r="C49" s="123"/>
      <c r="D49" s="123"/>
      <c r="E49" s="120"/>
      <c r="F49" s="123"/>
      <c r="G49" s="125" t="str">
        <f t="array" ref="G49">IF(OR($C49="",$B49="",$E49="",$F49=""),"",IF(F49=H49,E49,(INDEX('Emission factors'!$K$3:$V$201,MATCH(C49&amp;D49,'Emission factors'!$J$3:$J$201&amp;'Emission factors'!$K$3:$K$201,0),MATCH(G$41,'Emission factors'!$K$2:$V$2,0)))*E49))</f>
        <v/>
      </c>
      <c r="H49" s="29" t="str">
        <f>IF(OR($C49="",$B49="",$E49="",$F49=""),"",INDEX('Emission factors'!$K$3:$V$201,MATCH('Buildings, Fleet &amp; Equipment'!$C49,'Emission factors'!$J$3:$J$201,0),MATCH($H$41,'Emission factors'!$K$2:$V$2,0)))</f>
        <v/>
      </c>
      <c r="I49" s="149" t="str">
        <f t="array" ref="I49">IF(OR(C49="",E49="",FleetTableFuel[[#This Row],[Units]]=""),"",INDEX('Emission factors'!$K$3:$V$201,MATCH('Buildings, Fleet &amp; Equipment'!$C49&amp;D49,'Emission factors'!$J$3:$J$201&amp;'Emission factors'!$K$3:$K$201,0),MATCH('Buildings, Fleet &amp; Equipment'!$I$41,'Emission factors'!$K$2:$V$2,0)))</f>
        <v/>
      </c>
      <c r="J49" s="213" t="str">
        <f>IF(OR(G49="",I49=""),"",SUM(FleetTableFuel[[#This Row],[Direct]:[Indirect WTT]]))</f>
        <v/>
      </c>
      <c r="K49" s="122"/>
      <c r="L49" s="214" t="str">
        <f t="array" ref="L49">IF(OR($C49="",$E49=""),"",(INDEX('Emission factors'!$K$3:$V$201,MATCH('Buildings, Fleet &amp; Equipment'!$C49&amp;$D49,'Emission factors'!$J$3:$J$201&amp;'Emission factors'!$K$3:$K$201,0),MATCH('Buildings, Fleet &amp; Equipment'!L$7,'Emission factors'!$K$2:$V$2,0)))*$G49)</f>
        <v/>
      </c>
      <c r="M49" s="214" t="str">
        <f t="array" ref="M49">IF(OR($C49="",$E49=""),"",(INDEX('Emission factors'!$K$3:$V$201,MATCH('Buildings, Fleet &amp; Equipment'!$C49&amp;$D49,'Emission factors'!$J$3:$J$201&amp;'Emission factors'!$K$3:$K$201,0),MATCH('Buildings, Fleet &amp; Equipment'!M$7,'Emission factors'!$K$2:$V$2,0)))*$G49)</f>
        <v/>
      </c>
      <c r="N49" s="214" t="str">
        <f t="array" ref="N49">IF(OR($C49="",$E49=""),"",(INDEX('Emission factors'!$K$3:$V$201,MATCH('Buildings, Fleet &amp; Equipment'!$C49&amp;$D49,'Emission factors'!$J$3:$J$201&amp;'Emission factors'!$K$3:$K$201,0),MATCH('Buildings, Fleet &amp; Equipment'!N$7,'Emission factors'!$K$2:$V$2,0)))*$G49)</f>
        <v/>
      </c>
      <c r="O49" s="214" t="str">
        <f t="array" ref="O49">IF(OR($C49="",$E49=""),"",(INDEX('Emission factors'!$K$3:$V$201,MATCH('Buildings, Fleet &amp; Equipment'!$C49&amp;$D49,'Emission factors'!$J$3:$J$201&amp;'Emission factors'!$K$3:$K$201,0),MATCH('Buildings, Fleet &amp; Equipment'!O$7,'Emission factors'!$K$2:$V$2,0)))*$G49)</f>
        <v/>
      </c>
      <c r="P49" s="214" t="str">
        <f t="array" ref="P49">IF(OR($C49="",$E49=""),"",(INDEX('Emission factors'!$K$3:$V$201,MATCH('Buildings, Fleet &amp; Equipment'!$C49&amp;$D49,'Emission factors'!$J$3:$J$201&amp;'Emission factors'!$K$3:$K$201,0),MATCH('Buildings, Fleet &amp; Equipment'!P$7,'Emission factors'!$K$2:$V$2,0)))*$G49)</f>
        <v/>
      </c>
    </row>
    <row r="50" spans="1:22" s="1" customFormat="1" ht="15.75" thickBot="1" x14ac:dyDescent="0.3">
      <c r="A50" s="35"/>
      <c r="B50" s="126"/>
      <c r="C50" s="123"/>
      <c r="D50" s="123"/>
      <c r="E50" s="120"/>
      <c r="F50" s="123"/>
      <c r="G50" s="125" t="str">
        <f t="array" ref="G50">IF(OR($C50="",$B50="",$E50="",$F50=""),"",IF(F50=H50,E50,(INDEX('Emission factors'!$K$3:$V$201,MATCH(C50&amp;D50,'Emission factors'!$J$3:$J$201&amp;'Emission factors'!$K$3:$K$201,0),MATCH(G$41,'Emission factors'!$K$2:$V$2,0)))*E50))</f>
        <v/>
      </c>
      <c r="H50" s="29" t="str">
        <f>IF(OR($C50="",$B50="",$E50="",$F50=""),"",INDEX('Emission factors'!$K$3:$V$201,MATCH('Buildings, Fleet &amp; Equipment'!$C50,'Emission factors'!$J$3:$J$201,0),MATCH($H$41,'Emission factors'!$K$2:$V$2,0)))</f>
        <v/>
      </c>
      <c r="I50" s="149" t="str">
        <f t="array" ref="I50">IF(OR(C50="",E50="",FleetTableFuel[[#This Row],[Units]]=""),"",INDEX('Emission factors'!$K$3:$V$201,MATCH('Buildings, Fleet &amp; Equipment'!$C50&amp;D50,'Emission factors'!$J$3:$J$201&amp;'Emission factors'!$K$3:$K$201,0),MATCH('Buildings, Fleet &amp; Equipment'!$I$41,'Emission factors'!$K$2:$V$2,0)))</f>
        <v/>
      </c>
      <c r="J50" s="213" t="str">
        <f>IF(OR(G50="",I50=""),"",SUM(FleetTableFuel[[#This Row],[Direct]:[Indirect WTT]]))</f>
        <v/>
      </c>
      <c r="K50" s="122"/>
      <c r="L50" s="214" t="str">
        <f t="array" ref="L50">IF(OR($C50="",$E50=""),"",(INDEX('Emission factors'!$K$3:$V$201,MATCH('Buildings, Fleet &amp; Equipment'!$C50&amp;$D50,'Emission factors'!$J$3:$J$201&amp;'Emission factors'!$K$3:$K$201,0),MATCH('Buildings, Fleet &amp; Equipment'!L$7,'Emission factors'!$K$2:$V$2,0)))*$G50)</f>
        <v/>
      </c>
      <c r="M50" s="214" t="str">
        <f t="array" ref="M50">IF(OR($C50="",$E50=""),"",(INDEX('Emission factors'!$K$3:$V$201,MATCH('Buildings, Fleet &amp; Equipment'!$C50&amp;$D50,'Emission factors'!$J$3:$J$201&amp;'Emission factors'!$K$3:$K$201,0),MATCH('Buildings, Fleet &amp; Equipment'!M$7,'Emission factors'!$K$2:$V$2,0)))*$G50)</f>
        <v/>
      </c>
      <c r="N50" s="214" t="str">
        <f t="array" ref="N50">IF(OR($C50="",$E50=""),"",(INDEX('Emission factors'!$K$3:$V$201,MATCH('Buildings, Fleet &amp; Equipment'!$C50&amp;$D50,'Emission factors'!$J$3:$J$201&amp;'Emission factors'!$K$3:$K$201,0),MATCH('Buildings, Fleet &amp; Equipment'!N$7,'Emission factors'!$K$2:$V$2,0)))*$G50)</f>
        <v/>
      </c>
      <c r="O50" s="214" t="str">
        <f t="array" ref="O50">IF(OR($C50="",$E50=""),"",(INDEX('Emission factors'!$K$3:$V$201,MATCH('Buildings, Fleet &amp; Equipment'!$C50&amp;$D50,'Emission factors'!$J$3:$J$201&amp;'Emission factors'!$K$3:$K$201,0),MATCH('Buildings, Fleet &amp; Equipment'!O$7,'Emission factors'!$K$2:$V$2,0)))*$G50)</f>
        <v/>
      </c>
      <c r="P50" s="214" t="str">
        <f t="array" ref="P50">IF(OR($C50="",$E50=""),"",(INDEX('Emission factors'!$K$3:$V$201,MATCH('Buildings, Fleet &amp; Equipment'!$C50&amp;$D50,'Emission factors'!$J$3:$J$201&amp;'Emission factors'!$K$3:$K$201,0),MATCH('Buildings, Fleet &amp; Equipment'!P$7,'Emission factors'!$K$2:$V$2,0)))*$G50)</f>
        <v/>
      </c>
    </row>
    <row r="51" spans="1:22" s="1" customFormat="1" ht="15.75" collapsed="1" thickBot="1" x14ac:dyDescent="0.3">
      <c r="A51" s="35"/>
      <c r="B51" s="126"/>
      <c r="C51" s="123"/>
      <c r="D51" s="123"/>
      <c r="E51" s="120"/>
      <c r="F51" s="123"/>
      <c r="G51" s="125" t="str">
        <f t="array" ref="G51">IF(OR($C51="",$B51="",$E51="",$F51=""),"",IF(F51=H51,E51,(INDEX('Emission factors'!$K$3:$V$201,MATCH(C51&amp;D51,'Emission factors'!$J$3:$J$201&amp;'Emission factors'!$K$3:$K$201,0),MATCH(G$41,'Emission factors'!$K$2:$V$2,0)))*E51))</f>
        <v/>
      </c>
      <c r="H51" s="29" t="str">
        <f>IF(OR($C51="",$B51="",$E51="",$F51=""),"",INDEX('Emission factors'!$K$3:$V$201,MATCH('Buildings, Fleet &amp; Equipment'!$C51,'Emission factors'!$J$3:$J$201,0),MATCH($H$41,'Emission factors'!$K$2:$V$2,0)))</f>
        <v/>
      </c>
      <c r="I51" s="149" t="str">
        <f t="array" ref="I51">IF(OR(C51="",E51="",FleetTableFuel[[#This Row],[Units]]=""),"",INDEX('Emission factors'!$K$3:$V$201,MATCH('Buildings, Fleet &amp; Equipment'!$C51&amp;D51,'Emission factors'!$J$3:$J$201&amp;'Emission factors'!$K$3:$K$201,0),MATCH('Buildings, Fleet &amp; Equipment'!$I$41,'Emission factors'!$K$2:$V$2,0)))</f>
        <v/>
      </c>
      <c r="J51" s="213" t="str">
        <f>IF(OR(G51="",I51=""),"",SUM(FleetTableFuel[[#This Row],[Direct]:[Indirect WTT]]))</f>
        <v/>
      </c>
      <c r="K51" s="122"/>
      <c r="L51" s="214" t="str">
        <f t="array" ref="L51">IF(OR($C51="",$E51=""),"",(INDEX('Emission factors'!$K$3:$V$201,MATCH('Buildings, Fleet &amp; Equipment'!$C51&amp;$D51,'Emission factors'!$J$3:$J$201&amp;'Emission factors'!$K$3:$K$201,0),MATCH('Buildings, Fleet &amp; Equipment'!L$7,'Emission factors'!$K$2:$V$2,0)))*$G51)</f>
        <v/>
      </c>
      <c r="M51" s="214" t="str">
        <f t="array" ref="M51">IF(OR($C51="",$E51=""),"",(INDEX('Emission factors'!$K$3:$V$201,MATCH('Buildings, Fleet &amp; Equipment'!$C51&amp;$D51,'Emission factors'!$J$3:$J$201&amp;'Emission factors'!$K$3:$K$201,0),MATCH('Buildings, Fleet &amp; Equipment'!M$7,'Emission factors'!$K$2:$V$2,0)))*$G51)</f>
        <v/>
      </c>
      <c r="N51" s="214" t="str">
        <f t="array" ref="N51">IF(OR($C51="",$E51=""),"",(INDEX('Emission factors'!$K$3:$V$201,MATCH('Buildings, Fleet &amp; Equipment'!$C51&amp;$D51,'Emission factors'!$J$3:$J$201&amp;'Emission factors'!$K$3:$K$201,0),MATCH('Buildings, Fleet &amp; Equipment'!N$7,'Emission factors'!$K$2:$V$2,0)))*$G51)</f>
        <v/>
      </c>
      <c r="O51" s="214" t="str">
        <f t="array" ref="O51">IF(OR($C51="",$E51=""),"",(INDEX('Emission factors'!$K$3:$V$201,MATCH('Buildings, Fleet &amp; Equipment'!$C51&amp;$D51,'Emission factors'!$J$3:$J$201&amp;'Emission factors'!$K$3:$K$201,0),MATCH('Buildings, Fleet &amp; Equipment'!O$7,'Emission factors'!$K$2:$V$2,0)))*$G51)</f>
        <v/>
      </c>
      <c r="P51" s="214" t="str">
        <f t="array" ref="P51">IF(OR($C51="",$E51=""),"",(INDEX('Emission factors'!$K$3:$V$201,MATCH('Buildings, Fleet &amp; Equipment'!$C51&amp;$D51,'Emission factors'!$J$3:$J$201&amp;'Emission factors'!$K$3:$K$201,0),MATCH('Buildings, Fleet &amp; Equipment'!P$7,'Emission factors'!$K$2:$V$2,0)))*$G51)</f>
        <v/>
      </c>
    </row>
    <row r="52" spans="1:22" s="1" customFormat="1" ht="15.75" thickBot="1" x14ac:dyDescent="0.3">
      <c r="A52" s="35"/>
      <c r="B52" s="126"/>
      <c r="C52" s="123"/>
      <c r="D52" s="123"/>
      <c r="E52" s="120"/>
      <c r="F52" s="123"/>
      <c r="G52" s="125" t="str">
        <f t="array" ref="G52">IF(OR($C52="",$B52="",$E52="",$F52=""),"",IF(F52=H52,E52,(INDEX('Emission factors'!$K$3:$V$201,MATCH(C52&amp;D52,'Emission factors'!$J$3:$J$201&amp;'Emission factors'!$K$3:$K$201,0),MATCH(G$41,'Emission factors'!$K$2:$V$2,0)))*E52))</f>
        <v/>
      </c>
      <c r="H52" s="29" t="str">
        <f>IF(OR($C52="",$B52="",$E52="",$F52=""),"",INDEX('Emission factors'!$K$3:$V$201,MATCH('Buildings, Fleet &amp; Equipment'!$C52,'Emission factors'!$J$3:$J$201,0),MATCH($H$41,'Emission factors'!$K$2:$V$2,0)))</f>
        <v/>
      </c>
      <c r="I52" s="149" t="str">
        <f t="array" ref="I52">IF(OR(C52="",E52="",FleetTableFuel[[#This Row],[Units]]=""),"",INDEX('Emission factors'!$K$3:$V$201,MATCH('Buildings, Fleet &amp; Equipment'!$C52&amp;D52,'Emission factors'!$J$3:$J$201&amp;'Emission factors'!$K$3:$K$201,0),MATCH('Buildings, Fleet &amp; Equipment'!$I$41,'Emission factors'!$K$2:$V$2,0)))</f>
        <v/>
      </c>
      <c r="J52" s="213" t="str">
        <f>IF(OR(G52="",I52=""),"",SUM(FleetTableFuel[[#This Row],[Direct]:[Indirect WTT]]))</f>
        <v/>
      </c>
      <c r="K52" s="122"/>
      <c r="L52" s="214" t="str">
        <f t="array" ref="L52">IF(OR($C52="",$E52=""),"",(INDEX('Emission factors'!$K$3:$V$201,MATCH('Buildings, Fleet &amp; Equipment'!$C52&amp;$D52,'Emission factors'!$J$3:$J$201&amp;'Emission factors'!$K$3:$K$201,0),MATCH('Buildings, Fleet &amp; Equipment'!L$7,'Emission factors'!$K$2:$V$2,0)))*$G52)</f>
        <v/>
      </c>
      <c r="M52" s="214" t="str">
        <f t="array" ref="M52">IF(OR($C52="",$E52=""),"",(INDEX('Emission factors'!$K$3:$V$201,MATCH('Buildings, Fleet &amp; Equipment'!$C52&amp;$D52,'Emission factors'!$J$3:$J$201&amp;'Emission factors'!$K$3:$K$201,0),MATCH('Buildings, Fleet &amp; Equipment'!M$7,'Emission factors'!$K$2:$V$2,0)))*$G52)</f>
        <v/>
      </c>
      <c r="N52" s="214" t="str">
        <f t="array" ref="N52">IF(OR($C52="",$E52=""),"",(INDEX('Emission factors'!$K$3:$V$201,MATCH('Buildings, Fleet &amp; Equipment'!$C52&amp;$D52,'Emission factors'!$J$3:$J$201&amp;'Emission factors'!$K$3:$K$201,0),MATCH('Buildings, Fleet &amp; Equipment'!N$7,'Emission factors'!$K$2:$V$2,0)))*$G52)</f>
        <v/>
      </c>
      <c r="O52" s="214" t="str">
        <f t="array" ref="O52">IF(OR($C52="",$E52=""),"",(INDEX('Emission factors'!$K$3:$V$201,MATCH('Buildings, Fleet &amp; Equipment'!$C52&amp;$D52,'Emission factors'!$J$3:$J$201&amp;'Emission factors'!$K$3:$K$201,0),MATCH('Buildings, Fleet &amp; Equipment'!O$7,'Emission factors'!$K$2:$V$2,0)))*$G52)</f>
        <v/>
      </c>
      <c r="P52" s="214" t="str">
        <f t="array" ref="P52">IF(OR($C52="",$E52=""),"",(INDEX('Emission factors'!$K$3:$V$201,MATCH('Buildings, Fleet &amp; Equipment'!$C52&amp;$D52,'Emission factors'!$J$3:$J$201&amp;'Emission factors'!$K$3:$K$201,0),MATCH('Buildings, Fleet &amp; Equipment'!P$7,'Emission factors'!$K$2:$V$2,0)))*$G52)</f>
        <v/>
      </c>
    </row>
    <row r="53" spans="1:22" s="1" customFormat="1" x14ac:dyDescent="0.25">
      <c r="A53" s="44"/>
      <c r="B53" s="46"/>
      <c r="C53" s="46"/>
      <c r="D53" s="46"/>
      <c r="E53" s="27"/>
      <c r="F53" s="27"/>
      <c r="G53" s="27"/>
      <c r="H53" s="27"/>
      <c r="I53" s="27"/>
      <c r="J53" s="27"/>
      <c r="K53" s="27"/>
      <c r="L53" s="27"/>
      <c r="M53" s="27"/>
      <c r="N53" s="27"/>
      <c r="O53" s="27"/>
      <c r="P53" s="27"/>
      <c r="Q53" s="27"/>
      <c r="R53" s="27"/>
      <c r="S53" s="27"/>
      <c r="T53" s="27"/>
      <c r="U53" s="219"/>
      <c r="V53" s="108"/>
    </row>
    <row r="54" spans="1:22" s="1" customFormat="1" ht="20.25" thickBot="1" x14ac:dyDescent="0.4">
      <c r="A54" s="35"/>
      <c r="B54" s="150" t="s">
        <v>99</v>
      </c>
      <c r="I54" s="128" t="str">
        <f>IFERROR(IF(SUM(FleetTableDistance[Total EF (kgCO2e/unit)])&gt;0,"No errors in this table","No data entered"), "There is an error in this table, see highlighted row(s)")</f>
        <v>No data entered</v>
      </c>
      <c r="L54" s="40" t="s">
        <v>775</v>
      </c>
      <c r="O54" s="40"/>
      <c r="T54" s="44"/>
      <c r="U54" s="220"/>
      <c r="V54" s="54"/>
    </row>
    <row r="55" spans="1:22" s="1" customFormat="1" ht="34.5" customHeight="1" thickBot="1" x14ac:dyDescent="0.3">
      <c r="A55" s="35"/>
      <c r="B55" s="41" t="s">
        <v>96</v>
      </c>
      <c r="C55" s="28" t="s">
        <v>97</v>
      </c>
      <c r="D55" s="28" t="s">
        <v>100</v>
      </c>
      <c r="E55" s="28" t="s">
        <v>67</v>
      </c>
      <c r="F55" s="28" t="s">
        <v>68</v>
      </c>
      <c r="G55" s="28" t="s">
        <v>69</v>
      </c>
      <c r="H55" s="28" t="s">
        <v>70</v>
      </c>
      <c r="I55" s="28" t="s">
        <v>773</v>
      </c>
      <c r="J55" s="28" t="s">
        <v>774</v>
      </c>
      <c r="K55" s="28" t="s">
        <v>72</v>
      </c>
      <c r="L55" s="8" t="s">
        <v>14</v>
      </c>
      <c r="M55" s="8" t="s">
        <v>73</v>
      </c>
      <c r="N55" s="8" t="s">
        <v>74</v>
      </c>
      <c r="O55" s="8" t="s">
        <v>75</v>
      </c>
      <c r="P55" s="8" t="s">
        <v>76</v>
      </c>
    </row>
    <row r="56" spans="1:22" s="1" customFormat="1" ht="15.75" thickBot="1" x14ac:dyDescent="0.3">
      <c r="A56" s="35"/>
      <c r="B56" s="126"/>
      <c r="C56" s="123"/>
      <c r="D56" s="123"/>
      <c r="E56" s="232"/>
      <c r="F56" s="123"/>
      <c r="G56" s="125" t="str">
        <f t="array" ref="G56">IF(OR($C56="",$B56="",$E56="",$F56=""),"",IF(F56=H56,E56,(INDEX('Emission factors'!$K$3:$V$201,MATCH(B56&amp;D56,'Emission factors'!$J$3:$J$201&amp;'Emission factors'!$K$3:$K$201,0),MATCH(G$41,'Emission factors'!$K$2:$V$2,0)))*E56))</f>
        <v/>
      </c>
      <c r="H56" s="29" t="str">
        <f>IF(OR($C56="",$B56="",$E56="",$F56=""),"",INDEX('Emission factors'!$K$3:$V$212,MATCH('Buildings, Fleet &amp; Equipment'!$B56,'Emission factors'!$J$3:$J$212,0),MATCH($H$55,'Emission factors'!$K$2:$V$2,0)))</f>
        <v/>
      </c>
      <c r="I56" s="149" t="str">
        <f t="array" ref="I56">IF(OR(FleetTableDistance[[#This Row],[Type]]="",C56="",E56=""),"",INDEX('Emission factors'!$K$3:$V$212,MATCH('Buildings, Fleet &amp; Equipment'!$B56&amp;C56&amp;FleetTableDistance[[#This Row],[Size]],'Emission factors'!$J$3:$J$212&amp;'Emission factors'!$L$3:$L$212&amp;'Emission factors'!$K$3:$K$212,0),MATCH('Buildings, Fleet &amp; Equipment'!$I$41,'Emission factors'!$K$2:$V$2,0)))</f>
        <v/>
      </c>
      <c r="J56" s="213" t="str">
        <f>IF(OR(G56="",I56=""),"",SUM(FleetTableDistance[[#This Row],[Direct]:[Indirect WTT]]))</f>
        <v/>
      </c>
      <c r="K56" s="122"/>
      <c r="L56" s="214" t="str">
        <f t="array" ref="L56">IF(OR($C56="",$E56=""),"",(INDEX('Emission factors'!$K$3:$V$379,MATCH(FleetTableDistance[[#This Row],[Type]]&amp;$C56&amp;$D56,'Emission factors'!$J$3:$J$379&amp;'Emission factors'!$L$3:$L$379&amp;'Emission factors'!$K$3:$K$379,0),MATCH('Buildings, Fleet &amp; Equipment'!L$7,'Emission factors'!$K$2:$V$2,0)))*$G56)</f>
        <v/>
      </c>
      <c r="M56" s="214" t="str">
        <f t="array" ref="M56">IF(OR($C56="",$E56=""),"",(INDEX('Emission factors'!$K$3:$V$212,MATCH(FleetTableDistance[[#This Row],[Type]]&amp;$C56&amp;$D56,'Emission factors'!$J$3:$J$212&amp;'Emission factors'!$L$3:$L$212&amp;'Emission factors'!$K$3:$K$212,0),MATCH('Buildings, Fleet &amp; Equipment'!M$7,'Emission factors'!$K$2:$V$2,0)))*$G56)</f>
        <v/>
      </c>
      <c r="N56" s="214" t="str">
        <f t="array" ref="N56">IF(OR($C56="",$E56=""),"",(INDEX('Emission factors'!$K$3:$V$212,MATCH(FleetTableDistance[[#This Row],[Type]]&amp;$C56&amp;$D56,'Emission factors'!$J$3:$J$212&amp;'Emission factors'!$L$3:$L$212&amp;'Emission factors'!$K$3:$K$212,0),MATCH('Buildings, Fleet &amp; Equipment'!N$7,'Emission factors'!$K$2:$V$2,0)))*$G56)</f>
        <v/>
      </c>
      <c r="O56" s="214" t="str">
        <f t="array" ref="O56">IF(OR($C56="",$E56=""),"",(INDEX('Emission factors'!$K$3:$V$212,MATCH(FleetTableDistance[[#This Row],[Type]]&amp;$C56&amp;$D56,'Emission factors'!$J$3:$J$212&amp;'Emission factors'!$L$3:$L$212&amp;'Emission factors'!$K$3:$K$212,0),MATCH('Buildings, Fleet &amp; Equipment'!O$7,'Emission factors'!$K$2:$V$2,0)))*$G56)</f>
        <v/>
      </c>
      <c r="P56" s="214" t="str">
        <f t="array" ref="P56">IF(OR($C56="",$E56=""),"",(INDEX('Emission factors'!$K$3:$V$212,MATCH(FleetTableDistance[[#This Row],[Type]]&amp;$C56&amp;$D56,'Emission factors'!$J$3:$J$212&amp;'Emission factors'!$L$3:$L$212&amp;'Emission factors'!$K$3:$K$212,0),MATCH('Buildings, Fleet &amp; Equipment'!P$7,'Emission factors'!$K$2:$V$2,0)))*$G56)</f>
        <v/>
      </c>
    </row>
    <row r="57" spans="1:22" s="1" customFormat="1" ht="15.75" thickBot="1" x14ac:dyDescent="0.3">
      <c r="A57" s="35"/>
      <c r="B57" s="126"/>
      <c r="C57" s="123"/>
      <c r="D57" s="123"/>
      <c r="E57" s="120"/>
      <c r="F57" s="123"/>
      <c r="G57" s="125" t="str">
        <f t="array" ref="G57">IF(OR($C57="",$B57="",$E57="",$F57=""),"",IF(F57=H57,E57,(INDEX('Emission factors'!$K$3:$V$201,MATCH(B57&amp;D57,'Emission factors'!$J$3:$J$201&amp;'Emission factors'!$K$3:$K$201,0),MATCH(G$41,'Emission factors'!$K$2:$V$2,0)))*E57))</f>
        <v/>
      </c>
      <c r="H57" s="29" t="str">
        <f>IF(OR($C57="",$B57="",$E57="",$F57=""),"",INDEX('Emission factors'!$K$3:$V$212,MATCH('Buildings, Fleet &amp; Equipment'!$B57,'Emission factors'!$J$3:$J$212,0),MATCH($H$55,'Emission factors'!$K$2:$V$2,0)))</f>
        <v/>
      </c>
      <c r="I57" s="149" t="str">
        <f t="array" ref="I57">IF(OR(FleetTableDistance[[#This Row],[Type]]="",C57="",E57=""),"",INDEX('Emission factors'!$K$3:$V$212,MATCH('Buildings, Fleet &amp; Equipment'!$B57&amp;C57&amp;FleetTableDistance[[#This Row],[Size]],'Emission factors'!$J$3:$J$212&amp;'Emission factors'!$L$3:$L$212&amp;'Emission factors'!$K$3:$K$212,0),MATCH('Buildings, Fleet &amp; Equipment'!$I$41,'Emission factors'!$K$2:$V$2,0)))</f>
        <v/>
      </c>
      <c r="J57" s="213" t="str">
        <f>IF(OR(G57="",I57=""),"",SUM(FleetTableDistance[[#This Row],[Direct]:[Indirect WTT]]))</f>
        <v/>
      </c>
      <c r="K57" s="122"/>
      <c r="L57" s="214" t="str">
        <f t="array" ref="L57">IF(OR($C57="",$E57=""),"",(INDEX('Emission factors'!$K$3:$V$379,MATCH(FleetTableDistance[[#This Row],[Type]]&amp;$C57&amp;$D57,'Emission factors'!$J$3:$J$379&amp;'Emission factors'!$L$3:$L$379&amp;'Emission factors'!$K$3:$K$379,0),MATCH('Buildings, Fleet &amp; Equipment'!L$7,'Emission factors'!$K$2:$V$2,0)))*$G57)</f>
        <v/>
      </c>
      <c r="M57" s="214" t="str">
        <f t="array" ref="M57">IF(OR($C57="",$E57=""),"",(INDEX('Emission factors'!$K$3:$V$212,MATCH(FleetTableDistance[[#This Row],[Type]]&amp;$C57&amp;$D57,'Emission factors'!$J$3:$J$212&amp;'Emission factors'!$L$3:$L$212&amp;'Emission factors'!$K$3:$K$212,0),MATCH('Buildings, Fleet &amp; Equipment'!M$7,'Emission factors'!$K$2:$V$2,0)))*$G57)</f>
        <v/>
      </c>
      <c r="N57" s="214" t="str">
        <f t="array" ref="N57">IF(OR($C57="",$E57=""),"",(INDEX('Emission factors'!$K$3:$V$212,MATCH(FleetTableDistance[[#This Row],[Type]]&amp;$C57&amp;$D57,'Emission factors'!$J$3:$J$212&amp;'Emission factors'!$L$3:$L$212&amp;'Emission factors'!$K$3:$K$212,0),MATCH('Buildings, Fleet &amp; Equipment'!N$7,'Emission factors'!$K$2:$V$2,0)))*$G57)</f>
        <v/>
      </c>
      <c r="O57" s="214" t="str">
        <f t="array" ref="O57">IF(OR($C57="",$E57=""),"",(INDEX('Emission factors'!$K$3:$V$212,MATCH(FleetTableDistance[[#This Row],[Type]]&amp;$C57&amp;$D57,'Emission factors'!$J$3:$J$212&amp;'Emission factors'!$L$3:$L$212&amp;'Emission factors'!$K$3:$K$212,0),MATCH('Buildings, Fleet &amp; Equipment'!O$7,'Emission factors'!$K$2:$V$2,0)))*$G57)</f>
        <v/>
      </c>
      <c r="P57" s="214" t="str">
        <f t="array" ref="P57">IF(OR($C57="",$E57=""),"",(INDEX('Emission factors'!$K$3:$V$212,MATCH(FleetTableDistance[[#This Row],[Type]]&amp;$C57&amp;$D57,'Emission factors'!$J$3:$J$212&amp;'Emission factors'!$L$3:$L$212&amp;'Emission factors'!$K$3:$K$212,0),MATCH('Buildings, Fleet &amp; Equipment'!P$7,'Emission factors'!$K$2:$V$2,0)))*$G57)</f>
        <v/>
      </c>
    </row>
    <row r="58" spans="1:22" s="1" customFormat="1" ht="15.75" thickBot="1" x14ac:dyDescent="0.3">
      <c r="A58" s="35"/>
      <c r="B58" s="126"/>
      <c r="C58" s="123"/>
      <c r="D58" s="123"/>
      <c r="E58" s="120"/>
      <c r="F58" s="123"/>
      <c r="G58" s="125" t="str">
        <f t="array" ref="G58">IF(OR($C58="",$B58="",$E58="",$F58=""),"",IF(F58=H58,E58,(INDEX('Emission factors'!$K$3:$V$201,MATCH(B58&amp;D58,'Emission factors'!$J$3:$J$201&amp;'Emission factors'!$K$3:$K$201,0),MATCH(G$41,'Emission factors'!$K$2:$V$2,0)))*E58))</f>
        <v/>
      </c>
      <c r="H58" s="29" t="str">
        <f>IF(OR($C58="",$B58="",$E58="",$F58=""),"",INDEX('Emission factors'!$K$3:$V$212,MATCH('Buildings, Fleet &amp; Equipment'!$B58,'Emission factors'!$J$3:$J$212,0),MATCH($H$55,'Emission factors'!$K$2:$V$2,0)))</f>
        <v/>
      </c>
      <c r="I58" s="149" t="str">
        <f t="array" ref="I58">IF(OR(FleetTableDistance[[#This Row],[Type]]="",C58="",E58=""),"",INDEX('Emission factors'!$K$3:$V$212,MATCH('Buildings, Fleet &amp; Equipment'!$B58&amp;C58&amp;FleetTableDistance[[#This Row],[Size]],'Emission factors'!$J$3:$J$212&amp;'Emission factors'!$L$3:$L$212&amp;'Emission factors'!$K$3:$K$212,0),MATCH('Buildings, Fleet &amp; Equipment'!$I$41,'Emission factors'!$K$2:$V$2,0)))</f>
        <v/>
      </c>
      <c r="J58" s="213" t="str">
        <f>IF(OR(G58="",I58=""),"",SUM(FleetTableDistance[[#This Row],[Direct]:[Indirect WTT]]))</f>
        <v/>
      </c>
      <c r="K58" s="122"/>
      <c r="L58" s="214" t="str">
        <f t="array" ref="L58">IF(OR($C58="",$E58=""),"",(INDEX('Emission factors'!$K$3:$V$379,MATCH(FleetTableDistance[[#This Row],[Type]]&amp;$C58&amp;$D58,'Emission factors'!$J$3:$J$379&amp;'Emission factors'!$L$3:$L$379&amp;'Emission factors'!$K$3:$K$379,0),MATCH('Buildings, Fleet &amp; Equipment'!L$7,'Emission factors'!$K$2:$V$2,0)))*$G58)</f>
        <v/>
      </c>
      <c r="M58" s="214" t="str">
        <f t="array" ref="M58">IF(OR($C58="",$E58=""),"",(INDEX('Emission factors'!$K$3:$V$212,MATCH(FleetTableDistance[[#This Row],[Type]]&amp;$C58&amp;$D58,'Emission factors'!$J$3:$J$212&amp;'Emission factors'!$L$3:$L$212&amp;'Emission factors'!$K$3:$K$212,0),MATCH('Buildings, Fleet &amp; Equipment'!M$7,'Emission factors'!$K$2:$V$2,0)))*$G58)</f>
        <v/>
      </c>
      <c r="N58" s="214" t="str">
        <f t="array" ref="N58">IF(OR($C58="",$E58=""),"",(INDEX('Emission factors'!$K$3:$V$212,MATCH(FleetTableDistance[[#This Row],[Type]]&amp;$C58&amp;$D58,'Emission factors'!$J$3:$J$212&amp;'Emission factors'!$L$3:$L$212&amp;'Emission factors'!$K$3:$K$212,0),MATCH('Buildings, Fleet &amp; Equipment'!N$7,'Emission factors'!$K$2:$V$2,0)))*$G58)</f>
        <v/>
      </c>
      <c r="O58" s="214" t="str">
        <f t="array" ref="O58">IF(OR($C58="",$E58=""),"",(INDEX('Emission factors'!$K$3:$V$212,MATCH(FleetTableDistance[[#This Row],[Type]]&amp;$C58&amp;$D58,'Emission factors'!$J$3:$J$212&amp;'Emission factors'!$L$3:$L$212&amp;'Emission factors'!$K$3:$K$212,0),MATCH('Buildings, Fleet &amp; Equipment'!O$7,'Emission factors'!$K$2:$V$2,0)))*$G58)</f>
        <v/>
      </c>
      <c r="P58" s="214" t="str">
        <f t="array" ref="P58">IF(OR($C58="",$E58=""),"",(INDEX('Emission factors'!$K$3:$V$212,MATCH(FleetTableDistance[[#This Row],[Type]]&amp;$C58&amp;$D58,'Emission factors'!$J$3:$J$212&amp;'Emission factors'!$L$3:$L$212&amp;'Emission factors'!$K$3:$K$212,0),MATCH('Buildings, Fleet &amp; Equipment'!P$7,'Emission factors'!$K$2:$V$2,0)))*$G58)</f>
        <v/>
      </c>
    </row>
    <row r="59" spans="1:22" s="1" customFormat="1" ht="15.75" thickBot="1" x14ac:dyDescent="0.3">
      <c r="A59" s="35"/>
      <c r="B59" s="126"/>
      <c r="C59" s="123"/>
      <c r="D59" s="123"/>
      <c r="E59" s="120"/>
      <c r="F59" s="123"/>
      <c r="G59" s="125" t="str">
        <f t="array" ref="G59">IF(OR($C59="",$B59="",$E59="",$F59=""),"",IF(F59=H59,E59,(INDEX('Emission factors'!$K$3:$V$201,MATCH(B59&amp;D59,'Emission factors'!$J$3:$J$201&amp;'Emission factors'!$K$3:$K$201,0),MATCH(G$41,'Emission factors'!$K$2:$V$2,0)))*E59))</f>
        <v/>
      </c>
      <c r="H59" s="29" t="str">
        <f>IF(OR($C59="",$B59="",$E59="",$F59=""),"",INDEX('Emission factors'!$K$3:$V$212,MATCH('Buildings, Fleet &amp; Equipment'!$B59,'Emission factors'!$J$3:$J$212,0),MATCH($H$55,'Emission factors'!$K$2:$V$2,0)))</f>
        <v/>
      </c>
      <c r="I59" s="149" t="str">
        <f t="array" ref="I59">IF(OR(FleetTableDistance[[#This Row],[Type]]="",C59="",E59=""),"",INDEX('Emission factors'!$K$3:$V$212,MATCH('Buildings, Fleet &amp; Equipment'!$B59&amp;C59&amp;FleetTableDistance[[#This Row],[Size]],'Emission factors'!$J$3:$J$212&amp;'Emission factors'!$L$3:$L$212&amp;'Emission factors'!$K$3:$K$212,0),MATCH('Buildings, Fleet &amp; Equipment'!$I$41,'Emission factors'!$K$2:$V$2,0)))</f>
        <v/>
      </c>
      <c r="J59" s="213" t="str">
        <f>IF(OR(G59="",I59=""),"",SUM(FleetTableDistance[[#This Row],[Direct]:[Indirect WTT]]))</f>
        <v/>
      </c>
      <c r="K59" s="122"/>
      <c r="L59" s="214" t="str">
        <f t="array" ref="L59">IF(OR($C59="",$E59=""),"",(INDEX('Emission factors'!$K$3:$V$379,MATCH(FleetTableDistance[[#This Row],[Type]]&amp;$C59&amp;$D59,'Emission factors'!$J$3:$J$379&amp;'Emission factors'!$L$3:$L$379&amp;'Emission factors'!$K$3:$K$379,0),MATCH('Buildings, Fleet &amp; Equipment'!L$7,'Emission factors'!$K$2:$V$2,0)))*$G59)</f>
        <v/>
      </c>
      <c r="M59" s="214" t="str">
        <f t="array" ref="M59">IF(OR($C59="",$E59=""),"",(INDEX('Emission factors'!$K$3:$V$212,MATCH(FleetTableDistance[[#This Row],[Type]]&amp;$C59&amp;$D59,'Emission factors'!$J$3:$J$212&amp;'Emission factors'!$L$3:$L$212&amp;'Emission factors'!$K$3:$K$212,0),MATCH('Buildings, Fleet &amp; Equipment'!M$7,'Emission factors'!$K$2:$V$2,0)))*$G59)</f>
        <v/>
      </c>
      <c r="N59" s="214" t="str">
        <f t="array" ref="N59">IF(OR($C59="",$E59=""),"",(INDEX('Emission factors'!$K$3:$V$212,MATCH(FleetTableDistance[[#This Row],[Type]]&amp;$C59&amp;$D59,'Emission factors'!$J$3:$J$212&amp;'Emission factors'!$L$3:$L$212&amp;'Emission factors'!$K$3:$K$212,0),MATCH('Buildings, Fleet &amp; Equipment'!N$7,'Emission factors'!$K$2:$V$2,0)))*$G59)</f>
        <v/>
      </c>
      <c r="O59" s="214" t="str">
        <f t="array" ref="O59">IF(OR($C59="",$E59=""),"",(INDEX('Emission factors'!$K$3:$V$212,MATCH(FleetTableDistance[[#This Row],[Type]]&amp;$C59&amp;$D59,'Emission factors'!$J$3:$J$212&amp;'Emission factors'!$L$3:$L$212&amp;'Emission factors'!$K$3:$K$212,0),MATCH('Buildings, Fleet &amp; Equipment'!O$7,'Emission factors'!$K$2:$V$2,0)))*$G59)</f>
        <v/>
      </c>
      <c r="P59" s="214" t="str">
        <f t="array" ref="P59">IF(OR($C59="",$E59=""),"",(INDEX('Emission factors'!$K$3:$V$212,MATCH(FleetTableDistance[[#This Row],[Type]]&amp;$C59&amp;$D59,'Emission factors'!$J$3:$J$212&amp;'Emission factors'!$L$3:$L$212&amp;'Emission factors'!$K$3:$K$212,0),MATCH('Buildings, Fleet &amp; Equipment'!P$7,'Emission factors'!$K$2:$V$2,0)))*$G59)</f>
        <v/>
      </c>
    </row>
    <row r="60" spans="1:22" s="1" customFormat="1" ht="15.75" thickBot="1" x14ac:dyDescent="0.3">
      <c r="A60" s="35"/>
      <c r="B60" s="126"/>
      <c r="C60" s="123"/>
      <c r="D60" s="123"/>
      <c r="E60" s="120"/>
      <c r="F60" s="123"/>
      <c r="G60" s="125" t="str">
        <f t="array" ref="G60">IF(OR($C60="",$B60="",$E60="",$F60=""),"",IF(F60=H60,E60,(INDEX('Emission factors'!$K$3:$V$201,MATCH(B60&amp;D60,'Emission factors'!$J$3:$J$201&amp;'Emission factors'!$K$3:$K$201,0),MATCH(G$41,'Emission factors'!$K$2:$V$2,0)))*E60))</f>
        <v/>
      </c>
      <c r="H60" s="29" t="str">
        <f>IF(OR($C60="",$B60="",$E60="",$F60=""),"",INDEX('Emission factors'!$K$3:$V$212,MATCH('Buildings, Fleet &amp; Equipment'!$B60,'Emission factors'!$J$3:$J$212,0),MATCH($H$55,'Emission factors'!$K$2:$V$2,0)))</f>
        <v/>
      </c>
      <c r="I60" s="149" t="str">
        <f t="array" ref="I60">IF(OR(FleetTableDistance[[#This Row],[Type]]="",C60="",E60=""),"",INDEX('Emission factors'!$K$3:$V$212,MATCH('Buildings, Fleet &amp; Equipment'!$B60&amp;C60&amp;FleetTableDistance[[#This Row],[Size]],'Emission factors'!$J$3:$J$212&amp;'Emission factors'!$L$3:$L$212&amp;'Emission factors'!$K$3:$K$212,0),MATCH('Buildings, Fleet &amp; Equipment'!$I$41,'Emission factors'!$K$2:$V$2,0)))</f>
        <v/>
      </c>
      <c r="J60" s="213" t="str">
        <f>IF(OR(G60="",I60=""),"",SUM(FleetTableDistance[[#This Row],[Direct]:[Indirect WTT]]))</f>
        <v/>
      </c>
      <c r="K60" s="122"/>
      <c r="L60" s="214" t="str">
        <f t="array" ref="L60">IF(OR($C60="",$E60=""),"",(INDEX('Emission factors'!$K$3:$V$379,MATCH(FleetTableDistance[[#This Row],[Type]]&amp;$C60&amp;$D60,'Emission factors'!$J$3:$J$379&amp;'Emission factors'!$L$3:$L$379&amp;'Emission factors'!$K$3:$K$379,0),MATCH('Buildings, Fleet &amp; Equipment'!L$7,'Emission factors'!$K$2:$V$2,0)))*$G60)</f>
        <v/>
      </c>
      <c r="M60" s="214" t="str">
        <f t="array" ref="M60">IF(OR($C60="",$E60=""),"",(INDEX('Emission factors'!$K$3:$V$212,MATCH(FleetTableDistance[[#This Row],[Type]]&amp;$C60&amp;$D60,'Emission factors'!$J$3:$J$212&amp;'Emission factors'!$L$3:$L$212&amp;'Emission factors'!$K$3:$K$212,0),MATCH('Buildings, Fleet &amp; Equipment'!M$7,'Emission factors'!$K$2:$V$2,0)))*$G60)</f>
        <v/>
      </c>
      <c r="N60" s="214" t="str">
        <f t="array" ref="N60">IF(OR($C60="",$E60=""),"",(INDEX('Emission factors'!$K$3:$V$212,MATCH(FleetTableDistance[[#This Row],[Type]]&amp;$C60&amp;$D60,'Emission factors'!$J$3:$J$212&amp;'Emission factors'!$L$3:$L$212&amp;'Emission factors'!$K$3:$K$212,0),MATCH('Buildings, Fleet &amp; Equipment'!N$7,'Emission factors'!$K$2:$V$2,0)))*$G60)</f>
        <v/>
      </c>
      <c r="O60" s="214" t="str">
        <f t="array" ref="O60">IF(OR($C60="",$E60=""),"",(INDEX('Emission factors'!$K$3:$V$212,MATCH(FleetTableDistance[[#This Row],[Type]]&amp;$C60&amp;$D60,'Emission factors'!$J$3:$J$212&amp;'Emission factors'!$L$3:$L$212&amp;'Emission factors'!$K$3:$K$212,0),MATCH('Buildings, Fleet &amp; Equipment'!O$7,'Emission factors'!$K$2:$V$2,0)))*$G60)</f>
        <v/>
      </c>
      <c r="P60" s="214" t="str">
        <f t="array" ref="P60">IF(OR($C60="",$E60=""),"",(INDEX('Emission factors'!$K$3:$V$212,MATCH(FleetTableDistance[[#This Row],[Type]]&amp;$C60&amp;$D60,'Emission factors'!$J$3:$J$212&amp;'Emission factors'!$L$3:$L$212&amp;'Emission factors'!$K$3:$K$212,0),MATCH('Buildings, Fleet &amp; Equipment'!P$7,'Emission factors'!$K$2:$V$2,0)))*$G60)</f>
        <v/>
      </c>
    </row>
    <row r="61" spans="1:22" s="1" customFormat="1" ht="15.75" thickBot="1" x14ac:dyDescent="0.3">
      <c r="A61" s="35"/>
      <c r="B61" s="126"/>
      <c r="C61" s="123"/>
      <c r="D61" s="123"/>
      <c r="E61" s="120"/>
      <c r="F61" s="123"/>
      <c r="G61" s="125" t="str">
        <f t="array" ref="G61">IF(OR($C61="",$B61="",$E61="",$F61=""),"",IF(F61=H61,E61,(INDEX('Emission factors'!$K$3:$V$201,MATCH(B61&amp;D61,'Emission factors'!$J$3:$J$201&amp;'Emission factors'!$K$3:$K$201,0),MATCH(G$41,'Emission factors'!$K$2:$V$2,0)))*E61))</f>
        <v/>
      </c>
      <c r="H61" s="29" t="str">
        <f>IF(OR($C61="",$B61="",$E61="",$F61=""),"",INDEX('Emission factors'!$K$3:$V$212,MATCH('Buildings, Fleet &amp; Equipment'!$B61,'Emission factors'!$J$3:$J$212,0),MATCH($H$55,'Emission factors'!$K$2:$V$2,0)))</f>
        <v/>
      </c>
      <c r="I61" s="149" t="str">
        <f t="array" ref="I61">IF(OR(FleetTableDistance[[#This Row],[Type]]="",C61="",E61=""),"",INDEX('Emission factors'!$K$3:$V$212,MATCH('Buildings, Fleet &amp; Equipment'!$B61&amp;C61&amp;FleetTableDistance[[#This Row],[Size]],'Emission factors'!$J$3:$J$212&amp;'Emission factors'!$L$3:$L$212&amp;'Emission factors'!$K$3:$K$212,0),MATCH('Buildings, Fleet &amp; Equipment'!$I$41,'Emission factors'!$K$2:$V$2,0)))</f>
        <v/>
      </c>
      <c r="J61" s="213" t="str">
        <f>IF(OR(G61="",I61=""),"",SUM(FleetTableDistance[[#This Row],[Direct]:[Indirect WTT]]))</f>
        <v/>
      </c>
      <c r="K61" s="122"/>
      <c r="L61" s="214" t="str">
        <f t="array" ref="L61">IF(OR($C61="",$E61=""),"",(INDEX('Emission factors'!$K$3:$V$379,MATCH(FleetTableDistance[[#This Row],[Type]]&amp;$C61&amp;$D61,'Emission factors'!$J$3:$J$379&amp;'Emission factors'!$L$3:$L$379&amp;'Emission factors'!$K$3:$K$379,0),MATCH('Buildings, Fleet &amp; Equipment'!L$7,'Emission factors'!$K$2:$V$2,0)))*$G61)</f>
        <v/>
      </c>
      <c r="M61" s="214" t="str">
        <f t="array" ref="M61">IF(OR($C61="",$E61=""),"",(INDEX('Emission factors'!$K$3:$V$212,MATCH(FleetTableDistance[[#This Row],[Type]]&amp;$C61&amp;$D61,'Emission factors'!$J$3:$J$212&amp;'Emission factors'!$L$3:$L$212&amp;'Emission factors'!$K$3:$K$212,0),MATCH('Buildings, Fleet &amp; Equipment'!M$7,'Emission factors'!$K$2:$V$2,0)))*$G61)</f>
        <v/>
      </c>
      <c r="N61" s="214" t="str">
        <f t="array" ref="N61">IF(OR($C61="",$E61=""),"",(INDEX('Emission factors'!$K$3:$V$212,MATCH(FleetTableDistance[[#This Row],[Type]]&amp;$C61&amp;$D61,'Emission factors'!$J$3:$J$212&amp;'Emission factors'!$L$3:$L$212&amp;'Emission factors'!$K$3:$K$212,0),MATCH('Buildings, Fleet &amp; Equipment'!N$7,'Emission factors'!$K$2:$V$2,0)))*$G61)</f>
        <v/>
      </c>
      <c r="O61" s="214" t="str">
        <f t="array" ref="O61">IF(OR($C61="",$E61=""),"",(INDEX('Emission factors'!$K$3:$V$212,MATCH(FleetTableDistance[[#This Row],[Type]]&amp;$C61&amp;$D61,'Emission factors'!$J$3:$J$212&amp;'Emission factors'!$L$3:$L$212&amp;'Emission factors'!$K$3:$K$212,0),MATCH('Buildings, Fleet &amp; Equipment'!O$7,'Emission factors'!$K$2:$V$2,0)))*$G61)</f>
        <v/>
      </c>
      <c r="P61" s="214" t="str">
        <f t="array" ref="P61">IF(OR($C61="",$E61=""),"",(INDEX('Emission factors'!$K$3:$V$212,MATCH(FleetTableDistance[[#This Row],[Type]]&amp;$C61&amp;$D61,'Emission factors'!$J$3:$J$212&amp;'Emission factors'!$L$3:$L$212&amp;'Emission factors'!$K$3:$K$212,0),MATCH('Buildings, Fleet &amp; Equipment'!P$7,'Emission factors'!$K$2:$V$2,0)))*$G61)</f>
        <v/>
      </c>
    </row>
    <row r="62" spans="1:22" s="1" customFormat="1" ht="15.75" thickBot="1" x14ac:dyDescent="0.3">
      <c r="A62" s="35"/>
      <c r="B62" s="126"/>
      <c r="C62" s="123"/>
      <c r="D62" s="123"/>
      <c r="E62" s="120"/>
      <c r="F62" s="123"/>
      <c r="G62" s="125" t="str">
        <f t="array" ref="G62">IF(OR($C62="",$B62="",$E62="",$F62=""),"",IF(F62=H62,E62,(INDEX('Emission factors'!$K$3:$V$201,MATCH(B62&amp;D62,'Emission factors'!$J$3:$J$201&amp;'Emission factors'!$K$3:$K$201,0),MATCH(G$41,'Emission factors'!$K$2:$V$2,0)))*E62))</f>
        <v/>
      </c>
      <c r="H62" s="29" t="str">
        <f>IF(OR($C62="",$B62="",$E62="",$F62=""),"",INDEX('Emission factors'!$K$3:$V$212,MATCH('Buildings, Fleet &amp; Equipment'!$B62,'Emission factors'!$J$3:$J$212,0),MATCH($H$55,'Emission factors'!$K$2:$V$2,0)))</f>
        <v/>
      </c>
      <c r="I62" s="149" t="str">
        <f t="array" ref="I62">IF(OR(FleetTableDistance[[#This Row],[Type]]="",C62="",E62=""),"",INDEX('Emission factors'!$K$3:$V$212,MATCH('Buildings, Fleet &amp; Equipment'!$B62&amp;C62&amp;FleetTableDistance[[#This Row],[Size]],'Emission factors'!$J$3:$J$212&amp;'Emission factors'!$L$3:$L$212&amp;'Emission factors'!$K$3:$K$212,0),MATCH('Buildings, Fleet &amp; Equipment'!$I$41,'Emission factors'!$K$2:$V$2,0)))</f>
        <v/>
      </c>
      <c r="J62" s="213" t="str">
        <f>IF(OR(G62="",I62=""),"",SUM(FleetTableDistance[[#This Row],[Direct]:[Indirect WTT]]))</f>
        <v/>
      </c>
      <c r="K62" s="122"/>
      <c r="L62" s="214" t="str">
        <f t="array" ref="L62">IF(OR($C62="",$E62=""),"",(INDEX('Emission factors'!$K$3:$V$379,MATCH(FleetTableDistance[[#This Row],[Type]]&amp;$C62&amp;$D62,'Emission factors'!$J$3:$J$379&amp;'Emission factors'!$L$3:$L$379&amp;'Emission factors'!$K$3:$K$379,0),MATCH('Buildings, Fleet &amp; Equipment'!L$7,'Emission factors'!$K$2:$V$2,0)))*$G62)</f>
        <v/>
      </c>
      <c r="M62" s="214" t="str">
        <f t="array" ref="M62">IF(OR($C62="",$E62=""),"",(INDEX('Emission factors'!$K$3:$V$212,MATCH(FleetTableDistance[[#This Row],[Type]]&amp;$C62&amp;$D62,'Emission factors'!$J$3:$J$212&amp;'Emission factors'!$L$3:$L$212&amp;'Emission factors'!$K$3:$K$212,0),MATCH('Buildings, Fleet &amp; Equipment'!M$7,'Emission factors'!$K$2:$V$2,0)))*$G62)</f>
        <v/>
      </c>
      <c r="N62" s="214" t="str">
        <f t="array" ref="N62">IF(OR($C62="",$E62=""),"",(INDEX('Emission factors'!$K$3:$V$212,MATCH(FleetTableDistance[[#This Row],[Type]]&amp;$C62&amp;$D62,'Emission factors'!$J$3:$J$212&amp;'Emission factors'!$L$3:$L$212&amp;'Emission factors'!$K$3:$K$212,0),MATCH('Buildings, Fleet &amp; Equipment'!N$7,'Emission factors'!$K$2:$V$2,0)))*$G62)</f>
        <v/>
      </c>
      <c r="O62" s="214" t="str">
        <f t="array" ref="O62">IF(OR($C62="",$E62=""),"",(INDEX('Emission factors'!$K$3:$V$212,MATCH(FleetTableDistance[[#This Row],[Type]]&amp;$C62&amp;$D62,'Emission factors'!$J$3:$J$212&amp;'Emission factors'!$L$3:$L$212&amp;'Emission factors'!$K$3:$K$212,0),MATCH('Buildings, Fleet &amp; Equipment'!O$7,'Emission factors'!$K$2:$V$2,0)))*$G62)</f>
        <v/>
      </c>
      <c r="P62" s="214" t="str">
        <f t="array" ref="P62">IF(OR($C62="",$E62=""),"",(INDEX('Emission factors'!$K$3:$V$212,MATCH(FleetTableDistance[[#This Row],[Type]]&amp;$C62&amp;$D62,'Emission factors'!$J$3:$J$212&amp;'Emission factors'!$L$3:$L$212&amp;'Emission factors'!$K$3:$K$212,0),MATCH('Buildings, Fleet &amp; Equipment'!P$7,'Emission factors'!$K$2:$V$2,0)))*$G62)</f>
        <v/>
      </c>
    </row>
    <row r="63" spans="1:22" s="1" customFormat="1" ht="15.75" thickBot="1" x14ac:dyDescent="0.3">
      <c r="A63" s="35"/>
      <c r="B63" s="126"/>
      <c r="C63" s="123"/>
      <c r="D63" s="123"/>
      <c r="E63" s="120"/>
      <c r="F63" s="123"/>
      <c r="G63" s="125" t="str">
        <f t="array" ref="G63">IF(OR($C63="",$B63="",$E63="",$F63=""),"",IF(F63=H63,E63,(INDEX('Emission factors'!$K$3:$V$201,MATCH(B63&amp;D63,'Emission factors'!$J$3:$J$201&amp;'Emission factors'!$K$3:$K$201,0),MATCH(G$41,'Emission factors'!$K$2:$V$2,0)))*E63))</f>
        <v/>
      </c>
      <c r="H63" s="29" t="str">
        <f>IF(OR($C63="",$B63="",$E63="",$F63=""),"",INDEX('Emission factors'!$K$3:$V$212,MATCH('Buildings, Fleet &amp; Equipment'!$B63,'Emission factors'!$J$3:$J$212,0),MATCH($H$55,'Emission factors'!$K$2:$V$2,0)))</f>
        <v/>
      </c>
      <c r="I63" s="149" t="str">
        <f t="array" ref="I63">IF(OR(FleetTableDistance[[#This Row],[Type]]="",C63="",E63=""),"",INDEX('Emission factors'!$K$3:$V$212,MATCH('Buildings, Fleet &amp; Equipment'!$B63&amp;C63&amp;FleetTableDistance[[#This Row],[Size]],'Emission factors'!$J$3:$J$212&amp;'Emission factors'!$L$3:$L$212&amp;'Emission factors'!$K$3:$K$212,0),MATCH('Buildings, Fleet &amp; Equipment'!$I$41,'Emission factors'!$K$2:$V$2,0)))</f>
        <v/>
      </c>
      <c r="J63" s="213" t="str">
        <f>IF(OR(G63="",I63=""),"",SUM(FleetTableDistance[[#This Row],[Direct]:[Indirect WTT]]))</f>
        <v/>
      </c>
      <c r="K63" s="122"/>
      <c r="L63" s="214" t="str">
        <f t="array" ref="L63">IF(OR($C63="",$E63=""),"",(INDEX('Emission factors'!$K$3:$V$379,MATCH(FleetTableDistance[[#This Row],[Type]]&amp;$C63&amp;$D63,'Emission factors'!$J$3:$J$379&amp;'Emission factors'!$L$3:$L$379&amp;'Emission factors'!$K$3:$K$379,0),MATCH('Buildings, Fleet &amp; Equipment'!L$7,'Emission factors'!$K$2:$V$2,0)))*$G63)</f>
        <v/>
      </c>
      <c r="M63" s="214" t="str">
        <f t="array" ref="M63">IF(OR($C63="",$E63=""),"",(INDEX('Emission factors'!$K$3:$V$212,MATCH(FleetTableDistance[[#This Row],[Type]]&amp;$C63&amp;$D63,'Emission factors'!$J$3:$J$212&amp;'Emission factors'!$L$3:$L$212&amp;'Emission factors'!$K$3:$K$212,0),MATCH('Buildings, Fleet &amp; Equipment'!M$7,'Emission factors'!$K$2:$V$2,0)))*$G63)</f>
        <v/>
      </c>
      <c r="N63" s="214" t="str">
        <f t="array" ref="N63">IF(OR($C63="",$E63=""),"",(INDEX('Emission factors'!$K$3:$V$212,MATCH(FleetTableDistance[[#This Row],[Type]]&amp;$C63&amp;$D63,'Emission factors'!$J$3:$J$212&amp;'Emission factors'!$L$3:$L$212&amp;'Emission factors'!$K$3:$K$212,0),MATCH('Buildings, Fleet &amp; Equipment'!N$7,'Emission factors'!$K$2:$V$2,0)))*$G63)</f>
        <v/>
      </c>
      <c r="O63" s="214" t="str">
        <f t="array" ref="O63">IF(OR($C63="",$E63=""),"",(INDEX('Emission factors'!$K$3:$V$212,MATCH(FleetTableDistance[[#This Row],[Type]]&amp;$C63&amp;$D63,'Emission factors'!$J$3:$J$212&amp;'Emission factors'!$L$3:$L$212&amp;'Emission factors'!$K$3:$K$212,0),MATCH('Buildings, Fleet &amp; Equipment'!O$7,'Emission factors'!$K$2:$V$2,0)))*$G63)</f>
        <v/>
      </c>
      <c r="P63" s="214" t="str">
        <f t="array" ref="P63">IF(OR($C63="",$E63=""),"",(INDEX('Emission factors'!$K$3:$V$212,MATCH(FleetTableDistance[[#This Row],[Type]]&amp;$C63&amp;$D63,'Emission factors'!$J$3:$J$212&amp;'Emission factors'!$L$3:$L$212&amp;'Emission factors'!$K$3:$K$212,0),MATCH('Buildings, Fleet &amp; Equipment'!P$7,'Emission factors'!$K$2:$V$2,0)))*$G63)</f>
        <v/>
      </c>
    </row>
    <row r="64" spans="1:22" s="1" customFormat="1" ht="15.75" thickBot="1" x14ac:dyDescent="0.3">
      <c r="A64" s="35"/>
      <c r="B64" s="126"/>
      <c r="C64" s="123"/>
      <c r="D64" s="123"/>
      <c r="E64" s="120"/>
      <c r="F64" s="123"/>
      <c r="G64" s="125" t="str">
        <f t="array" ref="G64">IF(OR($C64="",$B64="",$E64="",$F64=""),"",IF(F64=H64,E64,(INDEX('Emission factors'!$K$3:$V$201,MATCH(B64&amp;D64,'Emission factors'!$J$3:$J$201&amp;'Emission factors'!$K$3:$K$201,0),MATCH(G$41,'Emission factors'!$K$2:$V$2,0)))*E64))</f>
        <v/>
      </c>
      <c r="H64" s="29" t="str">
        <f>IF(OR($C64="",$B64="",$E64="",$F64=""),"",INDEX('Emission factors'!$K$3:$V$212,MATCH('Buildings, Fleet &amp; Equipment'!$B64,'Emission factors'!$J$3:$J$212,0),MATCH($H$55,'Emission factors'!$K$2:$V$2,0)))</f>
        <v/>
      </c>
      <c r="I64" s="149" t="str">
        <f t="array" ref="I64">IF(OR(FleetTableDistance[[#This Row],[Type]]="",C64="",E64=""),"",INDEX('Emission factors'!$K$3:$V$212,MATCH('Buildings, Fleet &amp; Equipment'!$B64&amp;C64&amp;FleetTableDistance[[#This Row],[Size]],'Emission factors'!$J$3:$J$212&amp;'Emission factors'!$L$3:$L$212&amp;'Emission factors'!$K$3:$K$212,0),MATCH('Buildings, Fleet &amp; Equipment'!$I$41,'Emission factors'!$K$2:$V$2,0)))</f>
        <v/>
      </c>
      <c r="J64" s="213" t="str">
        <f>IF(OR(G64="",I64=""),"",SUM(FleetTableDistance[[#This Row],[Direct]:[Indirect WTT]]))</f>
        <v/>
      </c>
      <c r="K64" s="122"/>
      <c r="L64" s="214" t="str">
        <f t="array" ref="L64">IF(OR($C64="",$E64=""),"",(INDEX('Emission factors'!$K$3:$V$379,MATCH(FleetTableDistance[[#This Row],[Type]]&amp;$C64&amp;$D64,'Emission factors'!$J$3:$J$379&amp;'Emission factors'!$L$3:$L$379&amp;'Emission factors'!$K$3:$K$379,0),MATCH('Buildings, Fleet &amp; Equipment'!L$7,'Emission factors'!$K$2:$V$2,0)))*$G64)</f>
        <v/>
      </c>
      <c r="M64" s="214" t="str">
        <f t="array" ref="M64">IF(OR($C64="",$E64=""),"",(INDEX('Emission factors'!$K$3:$V$212,MATCH(FleetTableDistance[[#This Row],[Type]]&amp;$C64&amp;$D64,'Emission factors'!$J$3:$J$212&amp;'Emission factors'!$L$3:$L$212&amp;'Emission factors'!$K$3:$K$212,0),MATCH('Buildings, Fleet &amp; Equipment'!M$7,'Emission factors'!$K$2:$V$2,0)))*$G64)</f>
        <v/>
      </c>
      <c r="N64" s="214" t="str">
        <f t="array" ref="N64">IF(OR($C64="",$E64=""),"",(INDEX('Emission factors'!$K$3:$V$212,MATCH(FleetTableDistance[[#This Row],[Type]]&amp;$C64&amp;$D64,'Emission factors'!$J$3:$J$212&amp;'Emission factors'!$L$3:$L$212&amp;'Emission factors'!$K$3:$K$212,0),MATCH('Buildings, Fleet &amp; Equipment'!N$7,'Emission factors'!$K$2:$V$2,0)))*$G64)</f>
        <v/>
      </c>
      <c r="O64" s="214" t="str">
        <f t="array" ref="O64">IF(OR($C64="",$E64=""),"",(INDEX('Emission factors'!$K$3:$V$212,MATCH(FleetTableDistance[[#This Row],[Type]]&amp;$C64&amp;$D64,'Emission factors'!$J$3:$J$212&amp;'Emission factors'!$L$3:$L$212&amp;'Emission factors'!$K$3:$K$212,0),MATCH('Buildings, Fleet &amp; Equipment'!O$7,'Emission factors'!$K$2:$V$2,0)))*$G64)</f>
        <v/>
      </c>
      <c r="P64" s="214" t="str">
        <f t="array" ref="P64">IF(OR($C64="",$E64=""),"",(INDEX('Emission factors'!$K$3:$V$212,MATCH(FleetTableDistance[[#This Row],[Type]]&amp;$C64&amp;$D64,'Emission factors'!$J$3:$J$212&amp;'Emission factors'!$L$3:$L$212&amp;'Emission factors'!$K$3:$K$212,0),MATCH('Buildings, Fleet &amp; Equipment'!P$7,'Emission factors'!$K$2:$V$2,0)))*$G64)</f>
        <v/>
      </c>
    </row>
    <row r="65" spans="1:22" s="1" customFormat="1" ht="15.75" thickBot="1" x14ac:dyDescent="0.3">
      <c r="A65" s="35"/>
      <c r="B65" s="126"/>
      <c r="C65" s="123"/>
      <c r="D65" s="123"/>
      <c r="E65" s="120"/>
      <c r="F65" s="123"/>
      <c r="G65" s="125" t="str">
        <f t="array" ref="G65">IF(OR($C65="",$B65="",$E65="",$F65=""),"",IF(F65=H65,E65,(INDEX('Emission factors'!$K$3:$V$201,MATCH(B65&amp;D65,'Emission factors'!$J$3:$J$201&amp;'Emission factors'!$K$3:$K$201,0),MATCH(G$41,'Emission factors'!$K$2:$V$2,0)))*E65))</f>
        <v/>
      </c>
      <c r="H65" s="29" t="str">
        <f>IF(OR($C65="",$B65="",$E65="",$F65=""),"",INDEX('Emission factors'!$K$3:$V$212,MATCH('Buildings, Fleet &amp; Equipment'!$B65,'Emission factors'!$J$3:$J$212,0),MATCH($H$55,'Emission factors'!$K$2:$V$2,0)))</f>
        <v/>
      </c>
      <c r="I65" s="149" t="str">
        <f t="array" ref="I65">IF(OR(FleetTableDistance[[#This Row],[Type]]="",C65="",E65=""),"",INDEX('Emission factors'!$K$3:$V$212,MATCH('Buildings, Fleet &amp; Equipment'!$B65&amp;C65&amp;FleetTableDistance[[#This Row],[Size]],'Emission factors'!$J$3:$J$212&amp;'Emission factors'!$L$3:$L$212&amp;'Emission factors'!$K$3:$K$212,0),MATCH('Buildings, Fleet &amp; Equipment'!$I$41,'Emission factors'!$K$2:$V$2,0)))</f>
        <v/>
      </c>
      <c r="J65" s="213" t="str">
        <f>IF(OR(G65="",I65=""),"",SUM(FleetTableDistance[[#This Row],[Direct]:[Indirect WTT]]))</f>
        <v/>
      </c>
      <c r="K65" s="122"/>
      <c r="L65" s="214" t="str">
        <f t="array" ref="L65">IF(OR($C65="",$E65=""),"",(INDEX('Emission factors'!$K$3:$V$379,MATCH(FleetTableDistance[[#This Row],[Type]]&amp;$C65&amp;$D65,'Emission factors'!$J$3:$J$379&amp;'Emission factors'!$L$3:$L$379&amp;'Emission factors'!$K$3:$K$379,0),MATCH('Buildings, Fleet &amp; Equipment'!L$7,'Emission factors'!$K$2:$V$2,0)))*$G65)</f>
        <v/>
      </c>
      <c r="M65" s="214" t="str">
        <f t="array" ref="M65">IF(OR($C65="",$E65=""),"",(INDEX('Emission factors'!$K$3:$V$212,MATCH(FleetTableDistance[[#This Row],[Type]]&amp;$C65&amp;$D65,'Emission factors'!$J$3:$J$212&amp;'Emission factors'!$L$3:$L$212&amp;'Emission factors'!$K$3:$K$212,0),MATCH('Buildings, Fleet &amp; Equipment'!M$7,'Emission factors'!$K$2:$V$2,0)))*$G65)</f>
        <v/>
      </c>
      <c r="N65" s="214" t="str">
        <f t="array" ref="N65">IF(OR($C65="",$E65=""),"",(INDEX('Emission factors'!$K$3:$V$212,MATCH(FleetTableDistance[[#This Row],[Type]]&amp;$C65&amp;$D65,'Emission factors'!$J$3:$J$212&amp;'Emission factors'!$L$3:$L$212&amp;'Emission factors'!$K$3:$K$212,0),MATCH('Buildings, Fleet &amp; Equipment'!N$7,'Emission factors'!$K$2:$V$2,0)))*$G65)</f>
        <v/>
      </c>
      <c r="O65" s="214" t="str">
        <f t="array" ref="O65">IF(OR($C65="",$E65=""),"",(INDEX('Emission factors'!$K$3:$V$212,MATCH(FleetTableDistance[[#This Row],[Type]]&amp;$C65&amp;$D65,'Emission factors'!$J$3:$J$212&amp;'Emission factors'!$L$3:$L$212&amp;'Emission factors'!$K$3:$K$212,0),MATCH('Buildings, Fleet &amp; Equipment'!O$7,'Emission factors'!$K$2:$V$2,0)))*$G65)</f>
        <v/>
      </c>
      <c r="P65" s="214" t="str">
        <f t="array" ref="P65">IF(OR($C65="",$E65=""),"",(INDEX('Emission factors'!$K$3:$V$212,MATCH(FleetTableDistance[[#This Row],[Type]]&amp;$C65&amp;$D65,'Emission factors'!$J$3:$J$212&amp;'Emission factors'!$L$3:$L$212&amp;'Emission factors'!$K$3:$K$212,0),MATCH('Buildings, Fleet &amp; Equipment'!P$7,'Emission factors'!$K$2:$V$2,0)))*$G65)</f>
        <v/>
      </c>
    </row>
    <row r="66" spans="1:22" s="1" customFormat="1" ht="15.75" thickBot="1" x14ac:dyDescent="0.3">
      <c r="A66" s="35"/>
      <c r="B66" s="126"/>
      <c r="C66" s="123"/>
      <c r="D66" s="123"/>
      <c r="E66" s="120"/>
      <c r="F66" s="123"/>
      <c r="G66" s="125" t="str">
        <f t="array" ref="G66">IF(OR($C66="",$B66="",$E66="",$F66=""),"",IF(F66=H66,E66,(INDEX('Emission factors'!$K$3:$V$201,MATCH(B66&amp;D66,'Emission factors'!$J$3:$J$201&amp;'Emission factors'!$K$3:$K$201,0),MATCH(G$41,'Emission factors'!$K$2:$V$2,0)))*E66))</f>
        <v/>
      </c>
      <c r="H66" s="29" t="str">
        <f>IF(OR($C66="",$B66="",$E66="",$F66=""),"",INDEX('Emission factors'!$K$3:$V$212,MATCH('Buildings, Fleet &amp; Equipment'!$B66,'Emission factors'!$J$3:$J$212,0),MATCH($H$55,'Emission factors'!$K$2:$V$2,0)))</f>
        <v/>
      </c>
      <c r="I66" s="149" t="str">
        <f t="array" ref="I66">IF(OR(FleetTableDistance[[#This Row],[Type]]="",C66="",E66=""),"",INDEX('Emission factors'!$K$3:$V$212,MATCH('Buildings, Fleet &amp; Equipment'!$B66&amp;C66&amp;FleetTableDistance[[#This Row],[Size]],'Emission factors'!$J$3:$J$212&amp;'Emission factors'!$L$3:$L$212&amp;'Emission factors'!$K$3:$K$212,0),MATCH('Buildings, Fleet &amp; Equipment'!$I$41,'Emission factors'!$K$2:$V$2,0)))</f>
        <v/>
      </c>
      <c r="J66" s="213" t="str">
        <f>IF(OR(G66="",I66=""),"",SUM(FleetTableDistance[[#This Row],[Direct]:[Indirect WTT]]))</f>
        <v/>
      </c>
      <c r="K66" s="122"/>
      <c r="L66" s="214" t="str">
        <f t="array" ref="L66">IF(OR($C66="",$E66=""),"",(INDEX('Emission factors'!$K$3:$V$379,MATCH(FleetTableDistance[[#This Row],[Type]]&amp;$C66&amp;$D66,'Emission factors'!$J$3:$J$379&amp;'Emission factors'!$L$3:$L$379&amp;'Emission factors'!$K$3:$K$379,0),MATCH('Buildings, Fleet &amp; Equipment'!L$7,'Emission factors'!$K$2:$V$2,0)))*$G66)</f>
        <v/>
      </c>
      <c r="M66" s="214" t="str">
        <f t="array" ref="M66">IF(OR($C66="",$E66=""),"",(INDEX('Emission factors'!$K$3:$V$212,MATCH(FleetTableDistance[[#This Row],[Type]]&amp;$C66&amp;$D66,'Emission factors'!$J$3:$J$212&amp;'Emission factors'!$L$3:$L$212&amp;'Emission factors'!$K$3:$K$212,0),MATCH('Buildings, Fleet &amp; Equipment'!M$7,'Emission factors'!$K$2:$V$2,0)))*$G66)</f>
        <v/>
      </c>
      <c r="N66" s="214" t="str">
        <f t="array" ref="N66">IF(OR($C66="",$E66=""),"",(INDEX('Emission factors'!$K$3:$V$212,MATCH(FleetTableDistance[[#This Row],[Type]]&amp;$C66&amp;$D66,'Emission factors'!$J$3:$J$212&amp;'Emission factors'!$L$3:$L$212&amp;'Emission factors'!$K$3:$K$212,0),MATCH('Buildings, Fleet &amp; Equipment'!N$7,'Emission factors'!$K$2:$V$2,0)))*$G66)</f>
        <v/>
      </c>
      <c r="O66" s="214" t="str">
        <f t="array" ref="O66">IF(OR($C66="",$E66=""),"",(INDEX('Emission factors'!$K$3:$V$212,MATCH(FleetTableDistance[[#This Row],[Type]]&amp;$C66&amp;$D66,'Emission factors'!$J$3:$J$212&amp;'Emission factors'!$L$3:$L$212&amp;'Emission factors'!$K$3:$K$212,0),MATCH('Buildings, Fleet &amp; Equipment'!O$7,'Emission factors'!$K$2:$V$2,0)))*$G66)</f>
        <v/>
      </c>
      <c r="P66" s="214" t="str">
        <f t="array" ref="P66">IF(OR($C66="",$E66=""),"",(INDEX('Emission factors'!$K$3:$V$212,MATCH(FleetTableDistance[[#This Row],[Type]]&amp;$C66&amp;$D66,'Emission factors'!$J$3:$J$212&amp;'Emission factors'!$L$3:$L$212&amp;'Emission factors'!$K$3:$K$212,0),MATCH('Buildings, Fleet &amp; Equipment'!P$7,'Emission factors'!$K$2:$V$2,0)))*$G66)</f>
        <v/>
      </c>
    </row>
    <row r="67" spans="1:22" s="1" customFormat="1" x14ac:dyDescent="0.25">
      <c r="A67" s="44"/>
      <c r="B67" s="46"/>
      <c r="C67" s="46"/>
      <c r="D67" s="46"/>
      <c r="E67" s="27"/>
      <c r="F67" s="27"/>
      <c r="G67" s="27"/>
      <c r="H67" s="27"/>
      <c r="I67" s="27"/>
      <c r="J67" s="27"/>
      <c r="K67" s="27"/>
      <c r="L67" s="27"/>
      <c r="M67" s="27"/>
      <c r="N67" s="27"/>
      <c r="O67" s="27"/>
      <c r="P67" s="27"/>
      <c r="Q67" s="27"/>
      <c r="R67" s="27"/>
      <c r="S67" s="27"/>
      <c r="T67" s="27"/>
      <c r="U67" s="219"/>
      <c r="V67" s="108"/>
    </row>
    <row r="68" spans="1:22" s="1" customFormat="1" x14ac:dyDescent="0.25">
      <c r="A68" s="35"/>
      <c r="B68" s="27"/>
      <c r="C68" s="27"/>
      <c r="D68" s="27"/>
      <c r="E68" s="27"/>
      <c r="F68" s="27"/>
      <c r="G68" s="27"/>
      <c r="H68" s="27"/>
      <c r="I68" s="27"/>
      <c r="J68" s="27"/>
      <c r="K68" s="27"/>
      <c r="L68" s="27"/>
      <c r="M68" s="27"/>
      <c r="N68" s="27"/>
      <c r="O68" s="27"/>
      <c r="P68" s="27"/>
      <c r="Q68" s="27"/>
      <c r="R68" s="27"/>
      <c r="S68" s="27"/>
      <c r="T68" s="27"/>
      <c r="U68" s="219"/>
      <c r="V68" s="108"/>
    </row>
    <row r="69" spans="1:22" x14ac:dyDescent="0.25">
      <c r="U69" s="221"/>
      <c r="V69" s="218"/>
    </row>
    <row r="70" spans="1:22" s="1" customFormat="1" x14ac:dyDescent="0.25">
      <c r="A70" s="35"/>
      <c r="B70" s="27"/>
      <c r="C70" s="27"/>
      <c r="D70" s="27"/>
      <c r="E70" s="27"/>
      <c r="F70" s="27"/>
      <c r="G70" s="27"/>
      <c r="H70" s="27"/>
      <c r="I70" s="27"/>
      <c r="J70" s="27"/>
      <c r="K70" s="27"/>
      <c r="L70" s="27"/>
      <c r="M70" s="27"/>
      <c r="N70" s="27"/>
      <c r="O70" s="27"/>
      <c r="P70" s="27"/>
      <c r="Q70" s="27"/>
      <c r="R70" s="27"/>
      <c r="S70" s="27"/>
      <c r="T70" s="27"/>
      <c r="U70" s="27"/>
      <c r="V70" s="27"/>
    </row>
  </sheetData>
  <sheetProtection algorithmName="SHA-512" hashValue="10SxiDGUciMedTZ7rVSh8dlTD3dCNngDaZRE1gV2GJP+45niRdOLAkh/AqJu2VH3vexG03iM/SaoG1KQCXIKJQ==" saltValue="DmIbyzZnMeD47nmUrPyvgA==" spinCount="100000" sheet="1" objects="1" scenarios="1"/>
  <mergeCells count="7">
    <mergeCell ref="Q1:R1"/>
    <mergeCell ref="Q2:R2"/>
    <mergeCell ref="B2:M2"/>
    <mergeCell ref="B3:M3"/>
    <mergeCell ref="B4:M4"/>
    <mergeCell ref="O2:P2"/>
    <mergeCell ref="O1:P1"/>
  </mergeCells>
  <conditionalFormatting sqref="B4:B5">
    <cfRule type="expression" dxfId="24" priority="3">
      <formula>ISERROR($L4)</formula>
    </cfRule>
  </conditionalFormatting>
  <conditionalFormatting sqref="B7:D37 B41:D52 B55:D66">
    <cfRule type="expression" dxfId="23" priority="26">
      <formula>ISERROR($J7)</formula>
    </cfRule>
  </conditionalFormatting>
  <conditionalFormatting sqref="B1:E3 B54:E54 B68:E120">
    <cfRule type="expression" dxfId="22" priority="24">
      <formula>ISERROR($L1)</formula>
    </cfRule>
  </conditionalFormatting>
  <conditionalFormatting sqref="B38:E39">
    <cfRule type="expression" dxfId="21" priority="4">
      <formula>ISERROR($L38)</formula>
    </cfRule>
  </conditionalFormatting>
  <conditionalFormatting sqref="B53:E53">
    <cfRule type="expression" dxfId="20" priority="10">
      <formula>ISERROR($L53)</formula>
    </cfRule>
  </conditionalFormatting>
  <conditionalFormatting sqref="B67:E67">
    <cfRule type="expression" dxfId="19" priority="13">
      <formula>ISERROR($L67)</formula>
    </cfRule>
  </conditionalFormatting>
  <conditionalFormatting sqref="I1:I3 I6 G7:G37 I38:I40 G41:G52 I53:I54 G55:G66 I67:I1048576">
    <cfRule type="cellIs" dxfId="18" priority="19" operator="equal">
      <formula>"There is an error in this table, see highlighted row(s)"</formula>
    </cfRule>
    <cfRule type="cellIs" dxfId="17" priority="22" operator="equal">
      <formula>"No errors in this table"</formula>
    </cfRule>
  </conditionalFormatting>
  <dataValidations count="12">
    <dataValidation type="list" allowBlank="1" showInputMessage="1" showErrorMessage="1" sqref="B56:B66" xr:uid="{00000000-0002-0000-0200-000000000000}">
      <formula1>INDIRECT(SUBSTITUTE($B$54," - ",""))</formula1>
    </dataValidation>
    <dataValidation type="decimal" operator="greaterThan" allowBlank="1" showInputMessage="1" showErrorMessage="1" errorTitle="Numeric data" error="Please enter a number greater than zero" sqref="E57:E66 E8:E37 E42:E52" xr:uid="{00000000-0002-0000-0200-000001000000}">
      <formula1>0</formula1>
    </dataValidation>
    <dataValidation type="list" allowBlank="1" showInputMessage="1" showErrorMessage="1" sqref="C42:C52" xr:uid="{00000000-0002-0000-0200-000002000000}">
      <formula1>INDIRECT(CONCATENATE(SUBSTITUTE(B42," ","")&amp;$C$41))</formula1>
    </dataValidation>
    <dataValidation type="list" allowBlank="1" showInputMessage="1" showErrorMessage="1" sqref="D42:D52" xr:uid="{00000000-0002-0000-0200-000003000000}">
      <formula1>INDIRECT(CONCATENATE(SUBSTITUTE($C42," ","")&amp;SUBSTITUTE($D$41," ","")))</formula1>
    </dataValidation>
    <dataValidation type="list" allowBlank="1" showInputMessage="1" showErrorMessage="1" sqref="B42:B52" xr:uid="{00000000-0002-0000-0200-000004000000}">
      <formula1>INDIRECT(SUBSTITUTE(SUBSTITUTE($B$40," - ","")," ",""))</formula1>
    </dataValidation>
    <dataValidation type="list" allowBlank="1" showInputMessage="1" showErrorMessage="1" sqref="F42:F52" xr:uid="{00000000-0002-0000-0200-000005000000}">
      <formula1>INDIRECT(CONCATENATE(SUBSTITUTE($C42," ","")&amp;$F$41))</formula1>
    </dataValidation>
    <dataValidation type="list" allowBlank="1" showInputMessage="1" showErrorMessage="1" sqref="C56:C66" xr:uid="{00000000-0002-0000-0200-000006000000}">
      <formula1>INDIRECT(CONCATENATE(SUBSTITUTE(B56," ","")&amp;$D$55&amp;$C$55))</formula1>
    </dataValidation>
    <dataValidation type="list" allowBlank="1" showInputMessage="1" showErrorMessage="1" sqref="D56:D66" xr:uid="{00000000-0002-0000-0200-000007000000}">
      <formula1>INDIRECT(CONCATENATE(SUBSTITUTE($B56," ","")&amp;$D$55))</formula1>
    </dataValidation>
    <dataValidation type="list" allowBlank="1" showInputMessage="1" showErrorMessage="1" sqref="F56:F66" xr:uid="{00000000-0002-0000-0200-000008000000}">
      <formula1>INDIRECT(CONCATENATE(SUBSTITUTE($B56," ","")&amp;$F$55))</formula1>
    </dataValidation>
    <dataValidation type="list" allowBlank="1" showInputMessage="1" showErrorMessage="1" sqref="F8:F37" xr:uid="{00000000-0002-0000-0200-000009000000}">
      <formula1>INDIRECT(CONCATENATE(SUBSTITUTE($C8," ","")&amp;$F$7))</formula1>
    </dataValidation>
    <dataValidation type="list" allowBlank="1" showInputMessage="1" showErrorMessage="1" sqref="C8:C37" xr:uid="{00000000-0002-0000-0200-00000A000000}">
      <formula1>INDIRECT(SUBSTITUTE(LEFT($B8,9)," ",""))</formula1>
    </dataValidation>
    <dataValidation type="list" allowBlank="1" showInputMessage="1" showErrorMessage="1" sqref="D8:D37" xr:uid="{00000000-0002-0000-0200-00000B000000}">
      <formula1>INDIRECT(CONCATENATE(SUBSTITUTE($C8," ","")&amp;SUBSTITUTE($D$7," ","")))</formula1>
    </dataValidation>
  </dataValidations>
  <pageMargins left="0.7" right="0.7" top="0.75" bottom="0.75" header="0.3" footer="0.3"/>
  <pageSetup paperSize="9" orientation="portrait"/>
  <headerFooter alignWithMargins="0"/>
  <tableParts count="3">
    <tablePart r:id="rId1"/>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C000000}">
          <x14:formula1>
            <xm:f>Lists!$O$4</xm:f>
          </x14:formula1>
          <xm:sqref>B8:B37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27CCF9"/>
  </sheetPr>
  <dimension ref="A1:V51"/>
  <sheetViews>
    <sheetView tabSelected="1" workbookViewId="0">
      <selection activeCell="B8" sqref="B8"/>
    </sheetView>
  </sheetViews>
  <sheetFormatPr defaultColWidth="8.5703125" defaultRowHeight="15" x14ac:dyDescent="0.25"/>
  <cols>
    <col min="1" max="1" width="2.140625" style="1" customWidth="1"/>
    <col min="2" max="2" width="20.42578125" style="1" customWidth="1"/>
    <col min="3" max="3" width="18.42578125" style="1" customWidth="1"/>
    <col min="4" max="4" width="20.140625" style="1" customWidth="1"/>
    <col min="5" max="5" width="22.85546875" style="1" customWidth="1"/>
    <col min="6" max="6" width="15.42578125" style="1" customWidth="1"/>
    <col min="7" max="7" width="11.42578125" style="1" customWidth="1"/>
    <col min="8" max="8" width="15.42578125" style="1" customWidth="1"/>
    <col min="9" max="9" width="19.5703125" style="1" customWidth="1"/>
    <col min="10" max="10" width="19" style="1" customWidth="1"/>
    <col min="11" max="11" width="22.140625" style="1" customWidth="1"/>
    <col min="12" max="12" width="19.5703125" style="1" customWidth="1"/>
    <col min="13" max="13" width="15.42578125" style="1" customWidth="1"/>
    <col min="14" max="14" width="22.42578125" style="1" customWidth="1"/>
    <col min="15" max="15" width="17.140625" style="1" customWidth="1"/>
    <col min="16" max="16" width="22.42578125" style="1" customWidth="1"/>
    <col min="17" max="17" width="17.140625" style="1" customWidth="1"/>
    <col min="18" max="18" width="14.5703125" style="1" customWidth="1"/>
    <col min="19" max="22" width="17.140625" style="1" customWidth="1"/>
    <col min="23" max="23" width="8.5703125" style="1" customWidth="1"/>
    <col min="24" max="16384" width="8.5703125" style="1"/>
  </cols>
  <sheetData>
    <row r="1" spans="1:20" ht="15.75" thickBot="1" x14ac:dyDescent="0.3">
      <c r="N1" s="129" t="s">
        <v>59</v>
      </c>
      <c r="O1" s="331" t="s">
        <v>2</v>
      </c>
      <c r="P1" s="332"/>
      <c r="Q1" s="319" t="s">
        <v>5</v>
      </c>
      <c r="R1" s="320"/>
    </row>
    <row r="2" spans="1:20" ht="19.5" thickBot="1" x14ac:dyDescent="0.3">
      <c r="B2" s="336" t="s">
        <v>1053</v>
      </c>
      <c r="C2" s="337"/>
      <c r="D2" s="337"/>
      <c r="E2" s="337"/>
      <c r="F2" s="337"/>
      <c r="G2" s="337"/>
      <c r="H2" s="337"/>
      <c r="I2" s="337"/>
      <c r="J2" s="337"/>
      <c r="K2" s="337"/>
      <c r="L2" s="337"/>
      <c r="M2" s="337"/>
      <c r="N2" s="130"/>
      <c r="O2" s="329" t="s">
        <v>3</v>
      </c>
      <c r="P2" s="330"/>
      <c r="Q2" s="321" t="s">
        <v>6</v>
      </c>
      <c r="R2" s="322"/>
    </row>
    <row r="3" spans="1:20" ht="46.5" customHeight="1" thickBot="1" x14ac:dyDescent="0.3">
      <c r="B3" s="338" t="s">
        <v>1054</v>
      </c>
      <c r="C3" s="339"/>
      <c r="D3" s="339"/>
      <c r="E3" s="339"/>
      <c r="F3" s="339"/>
      <c r="G3" s="339"/>
      <c r="H3" s="339"/>
      <c r="I3" s="339"/>
      <c r="J3" s="339"/>
      <c r="K3" s="339"/>
      <c r="L3" s="339"/>
      <c r="M3" s="340"/>
      <c r="N3" s="130"/>
    </row>
    <row r="4" spans="1:20" ht="116.25" customHeight="1" x14ac:dyDescent="0.25">
      <c r="B4" s="326" t="s">
        <v>1027</v>
      </c>
      <c r="C4" s="327"/>
      <c r="D4" s="327"/>
      <c r="E4" s="327"/>
      <c r="F4" s="327"/>
      <c r="G4" s="327"/>
      <c r="H4" s="327"/>
      <c r="I4" s="327"/>
      <c r="J4" s="327"/>
      <c r="K4" s="327"/>
      <c r="L4" s="327"/>
      <c r="M4" s="327"/>
    </row>
    <row r="5" spans="1:20" ht="25.7" customHeight="1" x14ac:dyDescent="0.25">
      <c r="B5" s="333" t="s">
        <v>102</v>
      </c>
      <c r="C5" s="334"/>
      <c r="D5" s="334"/>
      <c r="E5" s="334"/>
      <c r="F5" s="334"/>
      <c r="G5" s="334"/>
      <c r="H5" s="334"/>
      <c r="I5" s="334"/>
      <c r="J5" s="334"/>
      <c r="K5" s="334"/>
      <c r="L5" s="334"/>
      <c r="M5" s="334"/>
      <c r="N5" s="335"/>
    </row>
    <row r="6" spans="1:20" ht="19.5" thickBot="1" x14ac:dyDescent="0.3">
      <c r="B6" s="31" t="s">
        <v>1030</v>
      </c>
      <c r="C6" s="35"/>
      <c r="I6" s="128" t="str">
        <f>IFERROR(IF(SUM(BusinessTable[Total EF (kgCO2e/unit)])&gt;0,"No errors in this table","No data entered"), "There is an error in this table, see highlighted row(s)")</f>
        <v>No data entered</v>
      </c>
      <c r="L6" s="40" t="s">
        <v>61</v>
      </c>
      <c r="T6" s="44"/>
    </row>
    <row r="7" spans="1:20" ht="30.75" thickBot="1" x14ac:dyDescent="0.3">
      <c r="A7" s="26"/>
      <c r="B7" s="41" t="s">
        <v>103</v>
      </c>
      <c r="C7" s="28" t="s">
        <v>64</v>
      </c>
      <c r="D7" s="28" t="s">
        <v>104</v>
      </c>
      <c r="E7" s="28" t="s">
        <v>67</v>
      </c>
      <c r="F7" s="28" t="s">
        <v>68</v>
      </c>
      <c r="G7" s="28" t="s">
        <v>69</v>
      </c>
      <c r="H7" s="28" t="s">
        <v>70</v>
      </c>
      <c r="I7" s="28" t="s">
        <v>71</v>
      </c>
      <c r="J7" s="28" t="s">
        <v>39</v>
      </c>
      <c r="K7" s="28" t="s">
        <v>72</v>
      </c>
      <c r="L7" s="8" t="s">
        <v>14</v>
      </c>
      <c r="M7" s="8" t="s">
        <v>73</v>
      </c>
      <c r="N7" s="8" t="s">
        <v>74</v>
      </c>
      <c r="O7" s="8" t="s">
        <v>75</v>
      </c>
      <c r="P7" s="8" t="s">
        <v>76</v>
      </c>
    </row>
    <row r="8" spans="1:20" ht="15.75" thickBot="1" x14ac:dyDescent="0.3">
      <c r="A8" s="26"/>
      <c r="B8" s="179"/>
      <c r="C8" s="178"/>
      <c r="D8" s="178"/>
      <c r="E8" s="120"/>
      <c r="F8" s="179"/>
      <c r="G8" s="30" t="str">
        <f t="array" ref="G8">IF(OR($B8="",$C8="",$D8="",F8=""),"",IF(F8=H8,E8,(INDEX('Emission factors'!$K$3:$V$276,MATCH($B8&amp;$C8&amp;$D8,'Emission factors'!$J$3:$J$276&amp;'Emission factors'!$K$3:$K$276&amp;'Emission factors'!$L$3:$L$276,0),MATCH('School Travel &amp; Staff Commute'!G$7,'Emission factors'!$K$2:$V$2,0)))*E8))</f>
        <v/>
      </c>
      <c r="H8" s="29" t="str">
        <f t="array" ref="H8">IF(OR($B8="",$C8="",$E8=""),"",INDEX('Emission factors'!$K$3:$V$276,MATCH($B8&amp;$C8&amp;$D8,'Emission factors'!$J$3:$J$276&amp;'Emission factors'!$K$3:$K$276&amp;'Emission factors'!$L$3:$L$276,0),MATCH('School Travel &amp; Staff Commute'!H$7,'Emission factors'!$K$2:$V$2,0)))</f>
        <v/>
      </c>
      <c r="I8" s="29" t="str">
        <f t="array" ref="I8">IF(OR(B8="",C8="",D8=""),"",INDEX('Emission factors'!$K$3:$V$276,MATCH($B8&amp;$C8&amp;$D8,'Emission factors'!$J$3:$J$276&amp;'Emission factors'!$K$3:$K$276&amp;'Emission factors'!$L$3:$L$276,0),MATCH('School Travel &amp; Staff Commute'!I$7,'Emission factors'!$K$2:$V$2,0)))</f>
        <v/>
      </c>
      <c r="J8" s="32" t="str">
        <f>IF(OR(G8="",I8=""),"",SUM(BusinessTable[[#This Row],[Direct]:[Indirect WTT]]))</f>
        <v/>
      </c>
      <c r="K8" s="122"/>
      <c r="L8" s="215" t="str">
        <f t="array" ref="L8">IF(OR($C8="",$E8=""),"",(INDEX('Emission factors'!$K$3:$V$201,MATCH($B8&amp;$C8&amp;$D8,'Emission factors'!$J$3:$J$201&amp;'Emission factors'!$K$3:$K$201&amp;'Emission factors'!$L$3:$L$201,0),MATCH(L$7,'Emission factors'!$K$2:$V$2,0)))*$G8)</f>
        <v/>
      </c>
      <c r="M8" s="215" t="str">
        <f t="array" ref="M8">IF(OR($C8="",$E8=""),"",(INDEX('Emission factors'!$K$3:$V$201,MATCH($B8&amp;$C8&amp;$D8,'Emission factors'!$J$3:$J$201&amp;'Emission factors'!$K$3:$K$201&amp;'Emission factors'!$L$3:$L$201,0),MATCH(M$7,'Emission factors'!$K$2:$V$2,0)))*$G8)</f>
        <v/>
      </c>
      <c r="N8" s="215" t="str">
        <f t="array" ref="N8">IF(OR($C8="",$E8=""),"",(INDEX('Emission factors'!$K$3:$V$201,MATCH($B8&amp;$C8&amp;$D8,'Emission factors'!$J$3:$J$201&amp;'Emission factors'!$K$3:$K$201&amp;'Emission factors'!$L$3:$L$201,0),MATCH(N$7,'Emission factors'!$K$2:$V$2,0)))*$G8)</f>
        <v/>
      </c>
      <c r="O8" s="215" t="str">
        <f t="array" ref="O8">IF(OR($C8="",$E8=""),"",(INDEX('Emission factors'!$K$3:$V$201,MATCH($B8&amp;$C8&amp;$D8,'Emission factors'!$J$3:$J$201&amp;'Emission factors'!$K$3:$K$201&amp;'Emission factors'!$L$3:$L$201,0),MATCH(O$7,'Emission factors'!$K$2:$V$2,0)))*$G8)</f>
        <v/>
      </c>
      <c r="P8" s="215" t="str">
        <f t="array" ref="P8">IF(OR($C8="",$E8=""),"",(INDEX('Emission factors'!$K$3:$V$201,MATCH($B8&amp;$C8&amp;$D8,'Emission factors'!$J$3:$J$201&amp;'Emission factors'!$K$3:$K$201&amp;'Emission factors'!$L$3:$L$201,0),MATCH(P$7,'Emission factors'!$K$2:$V$2,0)))*$G8)</f>
        <v/>
      </c>
    </row>
    <row r="9" spans="1:20" ht="15.75" thickBot="1" x14ac:dyDescent="0.3">
      <c r="A9" s="26"/>
      <c r="B9" s="179"/>
      <c r="C9" s="178"/>
      <c r="D9" s="178"/>
      <c r="E9" s="120"/>
      <c r="F9" s="179"/>
      <c r="G9" s="30" t="str">
        <f t="array" ref="G9">IF(OR($B9="",$C9="",$D9="",F9=""),"",IF(F9=H9,E9,(INDEX('Emission factors'!$K$3:$V$276,MATCH($B9&amp;$C9&amp;$D9,'Emission factors'!$J$3:$J$276&amp;'Emission factors'!$K$3:$K$276&amp;'Emission factors'!$L$3:$L$276,0),MATCH('School Travel &amp; Staff Commute'!G$7,'Emission factors'!$K$2:$V$2,0)))*E9))</f>
        <v/>
      </c>
      <c r="H9" s="29" t="str">
        <f t="array" ref="H9">IF(OR($B9="",$C9="",$E9=""),"",INDEX('Emission factors'!$K$3:$V$276,MATCH($B9&amp;$C9&amp;$D9,'Emission factors'!$J$3:$J$276&amp;'Emission factors'!$K$3:$K$276&amp;'Emission factors'!$L$3:$L$276,0),MATCH('School Travel &amp; Staff Commute'!H$7,'Emission factors'!$K$2:$V$2,0)))</f>
        <v/>
      </c>
      <c r="I9" s="29" t="str">
        <f t="array" ref="I9">IF(OR(B9="",C9="",D9=""),"",INDEX('Emission factors'!$K$3:$V$276,MATCH($B9&amp;$C9&amp;$D9,'Emission factors'!$J$3:$J$276&amp;'Emission factors'!$K$3:$K$276&amp;'Emission factors'!$L$3:$L$276,0),MATCH('School Travel &amp; Staff Commute'!I$7,'Emission factors'!$K$2:$V$2,0)))</f>
        <v/>
      </c>
      <c r="J9" s="32" t="str">
        <f>IF(OR(G9="",I9=""),"",SUM(BusinessTable[[#This Row],[Direct]:[Indirect WTT]]))</f>
        <v/>
      </c>
      <c r="K9" s="122"/>
      <c r="L9" s="215" t="str">
        <f t="array" ref="L9">IF(OR($C9="",$E9=""),"",(INDEX('Emission factors'!$K$3:$V$201,MATCH($B9&amp;$C9&amp;$D9,'Emission factors'!$J$3:$J$201&amp;'Emission factors'!$K$3:$K$201&amp;'Emission factors'!$L$3:$L$201,0),MATCH(L$7,'Emission factors'!$K$2:$V$2,0)))*$G9)</f>
        <v/>
      </c>
      <c r="M9" s="215" t="str">
        <f t="array" ref="M9">IF(OR($C9="",$E9=""),"",(INDEX('Emission factors'!$K$3:$V$201,MATCH($B9&amp;$C9&amp;$D9,'Emission factors'!$J$3:$J$201&amp;'Emission factors'!$K$3:$K$201&amp;'Emission factors'!$L$3:$L$201,0),MATCH(M$7,'Emission factors'!$K$2:$V$2,0)))*$G9)</f>
        <v/>
      </c>
      <c r="N9" s="215" t="str">
        <f t="array" ref="N9">IF(OR($C9="",$E9=""),"",(INDEX('Emission factors'!$K$3:$V$201,MATCH($B9&amp;$C9&amp;$D9,'Emission factors'!$J$3:$J$201&amp;'Emission factors'!$K$3:$K$201&amp;'Emission factors'!$L$3:$L$201,0),MATCH(N$7,'Emission factors'!$K$2:$V$2,0)))*$G9)</f>
        <v/>
      </c>
      <c r="O9" s="215" t="str">
        <f t="array" ref="O9">IF(OR($C9="",$E9=""),"",(INDEX('Emission factors'!$K$3:$V$201,MATCH($B9&amp;$C9&amp;$D9,'Emission factors'!$J$3:$J$201&amp;'Emission factors'!$K$3:$K$201&amp;'Emission factors'!$L$3:$L$201,0),MATCH(O$7,'Emission factors'!$K$2:$V$2,0)))*$G9)</f>
        <v/>
      </c>
      <c r="P9" s="215" t="str">
        <f t="array" ref="P9">IF(OR($C9="",$E9=""),"",(INDEX('Emission factors'!$K$3:$V$201,MATCH($B9&amp;$C9&amp;$D9,'Emission factors'!$J$3:$J$201&amp;'Emission factors'!$K$3:$K$201&amp;'Emission factors'!$L$3:$L$201,0),MATCH(P$7,'Emission factors'!$K$2:$V$2,0)))*$G9)</f>
        <v/>
      </c>
    </row>
    <row r="10" spans="1:20" ht="15.75" thickBot="1" x14ac:dyDescent="0.3">
      <c r="A10" s="26"/>
      <c r="B10" s="179"/>
      <c r="C10" s="178"/>
      <c r="D10" s="178"/>
      <c r="E10" s="120"/>
      <c r="F10" s="179"/>
      <c r="G10" s="30" t="str">
        <f t="array" ref="G10">IF(OR($B10="",$C10="",$D10="",F10=""),"",IF(F10=H10,E10,(INDEX('Emission factors'!$K$3:$V$276,MATCH($B10&amp;$C10&amp;$D10,'Emission factors'!$J$3:$J$276&amp;'Emission factors'!$K$3:$K$276&amp;'Emission factors'!$L$3:$L$276,0),MATCH('School Travel &amp; Staff Commute'!G$7,'Emission factors'!$K$2:$V$2,0)))*E10))</f>
        <v/>
      </c>
      <c r="H10" s="29" t="str">
        <f t="array" ref="H10">IF(OR($B10="",$C10="",$E10=""),"",INDEX('Emission factors'!$K$3:$V$276,MATCH($B10&amp;$C10&amp;$D10,'Emission factors'!$J$3:$J$276&amp;'Emission factors'!$K$3:$K$276&amp;'Emission factors'!$L$3:$L$276,0),MATCH('School Travel &amp; Staff Commute'!H$7,'Emission factors'!$K$2:$V$2,0)))</f>
        <v/>
      </c>
      <c r="I10" s="29" t="str">
        <f t="array" ref="I10">IF(OR(B10="",C10="",D10=""),"",INDEX('Emission factors'!$K$3:$V$276,MATCH($B10&amp;$C10&amp;$D10,'Emission factors'!$J$3:$J$276&amp;'Emission factors'!$K$3:$K$276&amp;'Emission factors'!$L$3:$L$276,0),MATCH('School Travel &amp; Staff Commute'!I$7,'Emission factors'!$K$2:$V$2,0)))</f>
        <v/>
      </c>
      <c r="J10" s="32" t="str">
        <f>IF(OR(G10="",I10=""),"",SUM(BusinessTable[[#This Row],[Direct]:[Indirect WTT]]))</f>
        <v/>
      </c>
      <c r="K10" s="122"/>
      <c r="L10" s="215" t="str">
        <f t="array" ref="L10">IF(OR($C10="",$E10=""),"",(INDEX('Emission factors'!$K$3:$V$201,MATCH($B10&amp;$C10&amp;$D10,'Emission factors'!$J$3:$J$201&amp;'Emission factors'!$K$3:$K$201&amp;'Emission factors'!$L$3:$L$201,0),MATCH(L$7,'Emission factors'!$K$2:$V$2,0)))*$G10)</f>
        <v/>
      </c>
      <c r="M10" s="215" t="str">
        <f t="array" ref="M10">IF(OR($C10="",$E10=""),"",(INDEX('Emission factors'!$K$3:$V$201,MATCH($B10&amp;$C10&amp;$D10,'Emission factors'!$J$3:$J$201&amp;'Emission factors'!$K$3:$K$201&amp;'Emission factors'!$L$3:$L$201,0),MATCH(M$7,'Emission factors'!$K$2:$V$2,0)))*$G10)</f>
        <v/>
      </c>
      <c r="N10" s="215" t="str">
        <f t="array" ref="N10">IF(OR($C10="",$E10=""),"",(INDEX('Emission factors'!$K$3:$V$201,MATCH($B10&amp;$C10&amp;$D10,'Emission factors'!$J$3:$J$201&amp;'Emission factors'!$K$3:$K$201&amp;'Emission factors'!$L$3:$L$201,0),MATCH(N$7,'Emission factors'!$K$2:$V$2,0)))*$G10)</f>
        <v/>
      </c>
      <c r="O10" s="215" t="str">
        <f t="array" ref="O10">IF(OR($C10="",$E10=""),"",(INDEX('Emission factors'!$K$3:$V$201,MATCH($B10&amp;$C10&amp;$D10,'Emission factors'!$J$3:$J$201&amp;'Emission factors'!$K$3:$K$201&amp;'Emission factors'!$L$3:$L$201,0),MATCH(O$7,'Emission factors'!$K$2:$V$2,0)))*$G10)</f>
        <v/>
      </c>
      <c r="P10" s="215" t="str">
        <f t="array" ref="P10">IF(OR($C10="",$E10=""),"",(INDEX('Emission factors'!$K$3:$V$201,MATCH($B10&amp;$C10&amp;$D10,'Emission factors'!$J$3:$J$201&amp;'Emission factors'!$K$3:$K$201&amp;'Emission factors'!$L$3:$L$201,0),MATCH(P$7,'Emission factors'!$K$2:$V$2,0)))*$G10)</f>
        <v/>
      </c>
    </row>
    <row r="11" spans="1:20" ht="15.75" thickBot="1" x14ac:dyDescent="0.3">
      <c r="A11" s="26"/>
      <c r="B11" s="179"/>
      <c r="C11" s="178"/>
      <c r="D11" s="178"/>
      <c r="E11" s="120"/>
      <c r="F11" s="179"/>
      <c r="G11" s="30" t="str">
        <f t="array" ref="G11">IF(OR($B11="",$C11="",$D11="",F11=""),"",IF(F11=H11,E11,(INDEX('Emission factors'!$K$3:$V$276,MATCH($B11&amp;$C11&amp;$D11,'Emission factors'!$J$3:$J$276&amp;'Emission factors'!$K$3:$K$276&amp;'Emission factors'!$L$3:$L$276,0),MATCH('School Travel &amp; Staff Commute'!G$7,'Emission factors'!$K$2:$V$2,0)))*E11))</f>
        <v/>
      </c>
      <c r="H11" s="29" t="str">
        <f t="array" ref="H11">IF(OR($B11="",$C11="",$E11=""),"",INDEX('Emission factors'!$K$3:$V$276,MATCH($B11&amp;$C11&amp;$D11,'Emission factors'!$J$3:$J$276&amp;'Emission factors'!$K$3:$K$276&amp;'Emission factors'!$L$3:$L$276,0),MATCH('School Travel &amp; Staff Commute'!H$7,'Emission factors'!$K$2:$V$2,0)))</f>
        <v/>
      </c>
      <c r="I11" s="29" t="str">
        <f t="array" ref="I11">IF(OR(B11="",C11="",D11=""),"",INDEX('Emission factors'!$K$3:$V$276,MATCH($B11&amp;$C11&amp;$D11,'Emission factors'!$J$3:$J$276&amp;'Emission factors'!$K$3:$K$276&amp;'Emission factors'!$L$3:$L$276,0),MATCH('School Travel &amp; Staff Commute'!I$7,'Emission factors'!$K$2:$V$2,0)))</f>
        <v/>
      </c>
      <c r="J11" s="32" t="str">
        <f>IF(OR(G11="",I11=""),"",SUM(BusinessTable[[#This Row],[Direct]:[Indirect WTT]]))</f>
        <v/>
      </c>
      <c r="K11" s="122"/>
      <c r="L11" s="215" t="str">
        <f t="array" ref="L11">IF(OR($C11="",$E11=""),"",(INDEX('Emission factors'!$K$3:$V$201,MATCH($B11&amp;$C11&amp;$D11,'Emission factors'!$J$3:$J$201&amp;'Emission factors'!$K$3:$K$201&amp;'Emission factors'!$L$3:$L$201,0),MATCH(L$7,'Emission factors'!$K$2:$V$2,0)))*$G11)</f>
        <v/>
      </c>
      <c r="M11" s="215" t="str">
        <f t="array" ref="M11">IF(OR($C11="",$E11=""),"",(INDEX('Emission factors'!$K$3:$V$201,MATCH($B11&amp;$C11&amp;$D11,'Emission factors'!$J$3:$J$201&amp;'Emission factors'!$K$3:$K$201&amp;'Emission factors'!$L$3:$L$201,0),MATCH(M$7,'Emission factors'!$K$2:$V$2,0)))*$G11)</f>
        <v/>
      </c>
      <c r="N11" s="215" t="str">
        <f t="array" ref="N11">IF(OR($C11="",$E11=""),"",(INDEX('Emission factors'!$K$3:$V$201,MATCH($B11&amp;$C11&amp;$D11,'Emission factors'!$J$3:$J$201&amp;'Emission factors'!$K$3:$K$201&amp;'Emission factors'!$L$3:$L$201,0),MATCH(N$7,'Emission factors'!$K$2:$V$2,0)))*$G11)</f>
        <v/>
      </c>
      <c r="O11" s="215" t="str">
        <f t="array" ref="O11">IF(OR($C11="",$E11=""),"",(INDEX('Emission factors'!$K$3:$V$201,MATCH($B11&amp;$C11&amp;$D11,'Emission factors'!$J$3:$J$201&amp;'Emission factors'!$K$3:$K$201&amp;'Emission factors'!$L$3:$L$201,0),MATCH(O$7,'Emission factors'!$K$2:$V$2,0)))*$G11)</f>
        <v/>
      </c>
      <c r="P11" s="215" t="str">
        <f t="array" ref="P11">IF(OR($C11="",$E11=""),"",(INDEX('Emission factors'!$K$3:$V$201,MATCH($B11&amp;$C11&amp;$D11,'Emission factors'!$J$3:$J$201&amp;'Emission factors'!$K$3:$K$201&amp;'Emission factors'!$L$3:$L$201,0),MATCH(P$7,'Emission factors'!$K$2:$V$2,0)))*$G11)</f>
        <v/>
      </c>
    </row>
    <row r="12" spans="1:20" ht="15.75" thickBot="1" x14ac:dyDescent="0.3">
      <c r="A12" s="26"/>
      <c r="B12" s="179"/>
      <c r="C12" s="178"/>
      <c r="D12" s="178"/>
      <c r="E12" s="120"/>
      <c r="F12" s="179"/>
      <c r="G12" s="30" t="str">
        <f t="array" ref="G12">IF(OR($B12="",$C12="",$D12="",F12=""),"",IF(F12=H12,E12,(INDEX('Emission factors'!$K$3:$V$276,MATCH($B12&amp;$C12&amp;$D12,'Emission factors'!$J$3:$J$276&amp;'Emission factors'!$K$3:$K$276&amp;'Emission factors'!$L$3:$L$276,0),MATCH('School Travel &amp; Staff Commute'!G$7,'Emission factors'!$K$2:$V$2,0)))*E12))</f>
        <v/>
      </c>
      <c r="H12" s="29" t="str">
        <f t="array" ref="H12">IF(OR($B12="",$C12="",$E12=""),"",INDEX('Emission factors'!$K$3:$V$276,MATCH($B12&amp;$C12&amp;$D12,'Emission factors'!$J$3:$J$276&amp;'Emission factors'!$K$3:$K$276&amp;'Emission factors'!$L$3:$L$276,0),MATCH('School Travel &amp; Staff Commute'!H$7,'Emission factors'!$K$2:$V$2,0)))</f>
        <v/>
      </c>
      <c r="I12" s="29" t="str">
        <f t="array" ref="I12">IF(OR(B12="",C12="",D12=""),"",INDEX('Emission factors'!$K$3:$V$276,MATCH($B12&amp;$C12&amp;$D12,'Emission factors'!$J$3:$J$276&amp;'Emission factors'!$K$3:$K$276&amp;'Emission factors'!$L$3:$L$276,0),MATCH('School Travel &amp; Staff Commute'!I$7,'Emission factors'!$K$2:$V$2,0)))</f>
        <v/>
      </c>
      <c r="J12" s="32" t="str">
        <f>IF(OR(G12="",I12=""),"",SUM(BusinessTable[[#This Row],[Direct]:[Indirect WTT]]))</f>
        <v/>
      </c>
      <c r="K12" s="122"/>
      <c r="L12" s="215" t="str">
        <f t="array" ref="L12">IF(OR($C12="",$E12=""),"",(INDEX('Emission factors'!$K$3:$V$201,MATCH($B12&amp;$C12&amp;$D12,'Emission factors'!$J$3:$J$201&amp;'Emission factors'!$K$3:$K$201&amp;'Emission factors'!$L$3:$L$201,0),MATCH(L$7,'Emission factors'!$K$2:$V$2,0)))*$G12)</f>
        <v/>
      </c>
      <c r="M12" s="215" t="str">
        <f t="array" ref="M12">IF(OR($C12="",$E12=""),"",(INDEX('Emission factors'!$K$3:$V$201,MATCH($B12&amp;$C12&amp;$D12,'Emission factors'!$J$3:$J$201&amp;'Emission factors'!$K$3:$K$201&amp;'Emission factors'!$L$3:$L$201,0),MATCH(M$7,'Emission factors'!$K$2:$V$2,0)))*$G12)</f>
        <v/>
      </c>
      <c r="N12" s="215" t="str">
        <f t="array" ref="N12">IF(OR($C12="",$E12=""),"",(INDEX('Emission factors'!$K$3:$V$201,MATCH($B12&amp;$C12&amp;$D12,'Emission factors'!$J$3:$J$201&amp;'Emission factors'!$K$3:$K$201&amp;'Emission factors'!$L$3:$L$201,0),MATCH(N$7,'Emission factors'!$K$2:$V$2,0)))*$G12)</f>
        <v/>
      </c>
      <c r="O12" s="215" t="str">
        <f t="array" ref="O12">IF(OR($C12="",$E12=""),"",(INDEX('Emission factors'!$K$3:$V$201,MATCH($B12&amp;$C12&amp;$D12,'Emission factors'!$J$3:$J$201&amp;'Emission factors'!$K$3:$K$201&amp;'Emission factors'!$L$3:$L$201,0),MATCH(O$7,'Emission factors'!$K$2:$V$2,0)))*$G12)</f>
        <v/>
      </c>
      <c r="P12" s="215" t="str">
        <f t="array" ref="P12">IF(OR($C12="",$E12=""),"",(INDEX('Emission factors'!$K$3:$V$201,MATCH($B12&amp;$C12&amp;$D12,'Emission factors'!$J$3:$J$201&amp;'Emission factors'!$K$3:$K$201&amp;'Emission factors'!$L$3:$L$201,0),MATCH(P$7,'Emission factors'!$K$2:$V$2,0)))*$G12)</f>
        <v/>
      </c>
    </row>
    <row r="13" spans="1:20" ht="15.75" thickBot="1" x14ac:dyDescent="0.3">
      <c r="A13" s="26"/>
      <c r="B13" s="179"/>
      <c r="C13" s="123"/>
      <c r="D13" s="123"/>
      <c r="E13" s="120"/>
      <c r="F13" s="123"/>
      <c r="G13" s="30" t="str">
        <f t="array" ref="G13">IF(OR($B13="",$C13="",$D13="",F13=""),"",IF(F13=H13,E13,(INDEX('Emission factors'!$K$3:$V$276,MATCH($B13&amp;$C13&amp;$D13,'Emission factors'!$J$3:$J$276&amp;'Emission factors'!$K$3:$K$276&amp;'Emission factors'!$L$3:$L$276,0),MATCH('School Travel &amp; Staff Commute'!G$7,'Emission factors'!$K$2:$V$2,0)))*E13))</f>
        <v/>
      </c>
      <c r="H13" s="29" t="str">
        <f t="array" ref="H13">IF(OR($B13="",$C13="",$E13=""),"",INDEX('Emission factors'!$K$3:$V$276,MATCH($B13&amp;$C13&amp;$D13,'Emission factors'!$J$3:$J$276&amp;'Emission factors'!$K$3:$K$276&amp;'Emission factors'!$L$3:$L$276,0),MATCH('School Travel &amp; Staff Commute'!H$7,'Emission factors'!$K$2:$V$2,0)))</f>
        <v/>
      </c>
      <c r="I13" s="29" t="str">
        <f t="array" ref="I13">IF(OR(B13="",C13="",D13=""),"",INDEX('Emission factors'!$K$3:$V$276,MATCH($B13&amp;$C13&amp;$D13,'Emission factors'!$J$3:$J$276&amp;'Emission factors'!$K$3:$K$276&amp;'Emission factors'!$L$3:$L$276,0),MATCH('School Travel &amp; Staff Commute'!I$7,'Emission factors'!$K$2:$V$2,0)))</f>
        <v/>
      </c>
      <c r="J13" s="32" t="str">
        <f>IF(OR(G13="",I13=""),"",SUM(BusinessTable[[#This Row],[Direct]:[Indirect WTT]]))</f>
        <v/>
      </c>
      <c r="K13" s="122"/>
      <c r="L13" s="215" t="str">
        <f t="array" ref="L13">IF(OR($C13="",$E13=""),"",(INDEX('Emission factors'!$K$3:$V$201,MATCH($B13&amp;$C13&amp;$D13,'Emission factors'!$J$3:$J$201&amp;'Emission factors'!$K$3:$K$201&amp;'Emission factors'!$L$3:$L$201,0),MATCH(L$7,'Emission factors'!$K$2:$V$2,0)))*$G13)</f>
        <v/>
      </c>
      <c r="M13" s="215" t="str">
        <f t="array" ref="M13">IF(OR($C13="",$E13=""),"",(INDEX('Emission factors'!$K$3:$V$201,MATCH($B13&amp;$C13&amp;$D13,'Emission factors'!$J$3:$J$201&amp;'Emission factors'!$K$3:$K$201&amp;'Emission factors'!$L$3:$L$201,0),MATCH(M$7,'Emission factors'!$K$2:$V$2,0)))*$G13)</f>
        <v/>
      </c>
      <c r="N13" s="215" t="str">
        <f t="array" ref="N13">IF(OR($C13="",$E13=""),"",(INDEX('Emission factors'!$K$3:$V$201,MATCH($B13&amp;$C13&amp;$D13,'Emission factors'!$J$3:$J$201&amp;'Emission factors'!$K$3:$K$201&amp;'Emission factors'!$L$3:$L$201,0),MATCH(N$7,'Emission factors'!$K$2:$V$2,0)))*$G13)</f>
        <v/>
      </c>
      <c r="O13" s="215" t="str">
        <f t="array" ref="O13">IF(OR($C13="",$E13=""),"",(INDEX('Emission factors'!$K$3:$V$201,MATCH($B13&amp;$C13&amp;$D13,'Emission factors'!$J$3:$J$201&amp;'Emission factors'!$K$3:$K$201&amp;'Emission factors'!$L$3:$L$201,0),MATCH(O$7,'Emission factors'!$K$2:$V$2,0)))*$G13)</f>
        <v/>
      </c>
      <c r="P13" s="215" t="str">
        <f t="array" ref="P13">IF(OR($C13="",$E13=""),"",(INDEX('Emission factors'!$K$3:$V$201,MATCH($B13&amp;$C13&amp;$D13,'Emission factors'!$J$3:$J$201&amp;'Emission factors'!$K$3:$K$201&amp;'Emission factors'!$L$3:$L$201,0),MATCH(P$7,'Emission factors'!$K$2:$V$2,0)))*$G13)</f>
        <v/>
      </c>
    </row>
    <row r="14" spans="1:20" ht="15.75" thickBot="1" x14ac:dyDescent="0.3">
      <c r="A14" s="26"/>
      <c r="B14" s="179"/>
      <c r="C14" s="123"/>
      <c r="D14" s="123"/>
      <c r="E14" s="120"/>
      <c r="F14" s="123"/>
      <c r="G14" s="30" t="str">
        <f t="array" ref="G14">IF(OR($B14="",$C14="",$D14="",F14=""),"",IF(F14=H14,E14,(INDEX('Emission factors'!$K$3:$V$276,MATCH($B14&amp;$C14&amp;$D14,'Emission factors'!$J$3:$J$276&amp;'Emission factors'!$K$3:$K$276&amp;'Emission factors'!$L$3:$L$276,0),MATCH('School Travel &amp; Staff Commute'!G$7,'Emission factors'!$K$2:$V$2,0)))*E14))</f>
        <v/>
      </c>
      <c r="H14" s="29" t="str">
        <f t="array" ref="H14">IF(OR($B14="",$C14="",$E14=""),"",INDEX('Emission factors'!$K$3:$V$276,MATCH($B14&amp;$C14&amp;$D14,'Emission factors'!$J$3:$J$276&amp;'Emission factors'!$K$3:$K$276&amp;'Emission factors'!$L$3:$L$276,0),MATCH('School Travel &amp; Staff Commute'!H$7,'Emission factors'!$K$2:$V$2,0)))</f>
        <v/>
      </c>
      <c r="I14" s="29" t="str">
        <f t="array" ref="I14">IF(OR(B14="",C14="",D14=""),"",INDEX('Emission factors'!$K$3:$V$276,MATCH($B14&amp;$C14&amp;$D14,'Emission factors'!$J$3:$J$276&amp;'Emission factors'!$K$3:$K$276&amp;'Emission factors'!$L$3:$L$276,0),MATCH('School Travel &amp; Staff Commute'!I$7,'Emission factors'!$K$2:$V$2,0)))</f>
        <v/>
      </c>
      <c r="J14" s="32" t="str">
        <f>IF(OR(G14="",I14=""),"",SUM(BusinessTable[[#This Row],[Direct]:[Indirect WTT]]))</f>
        <v/>
      </c>
      <c r="K14" s="122"/>
      <c r="L14" s="215" t="str">
        <f t="array" ref="L14">IF(OR($C14="",$E14=""),"",(INDEX('Emission factors'!$K$3:$V$201,MATCH($B14&amp;$C14&amp;$D14,'Emission factors'!$J$3:$J$201&amp;'Emission factors'!$K$3:$K$201&amp;'Emission factors'!$L$3:$L$201,0),MATCH(L$7,'Emission factors'!$K$2:$V$2,0)))*$G14)</f>
        <v/>
      </c>
      <c r="M14" s="215" t="str">
        <f t="array" ref="M14">IF(OR($C14="",$E14=""),"",(INDEX('Emission factors'!$K$3:$V$201,MATCH($B14&amp;$C14&amp;$D14,'Emission factors'!$J$3:$J$201&amp;'Emission factors'!$K$3:$K$201&amp;'Emission factors'!$L$3:$L$201,0),MATCH(M$7,'Emission factors'!$K$2:$V$2,0)))*$G14)</f>
        <v/>
      </c>
      <c r="N14" s="215" t="str">
        <f t="array" ref="N14">IF(OR($C14="",$E14=""),"",(INDEX('Emission factors'!$K$3:$V$201,MATCH($B14&amp;$C14&amp;$D14,'Emission factors'!$J$3:$J$201&amp;'Emission factors'!$K$3:$K$201&amp;'Emission factors'!$L$3:$L$201,0),MATCH(N$7,'Emission factors'!$K$2:$V$2,0)))*$G14)</f>
        <v/>
      </c>
      <c r="O14" s="215" t="str">
        <f t="array" ref="O14">IF(OR($C14="",$E14=""),"",(INDEX('Emission factors'!$K$3:$V$201,MATCH($B14&amp;$C14&amp;$D14,'Emission factors'!$J$3:$J$201&amp;'Emission factors'!$K$3:$K$201&amp;'Emission factors'!$L$3:$L$201,0),MATCH(O$7,'Emission factors'!$K$2:$V$2,0)))*$G14)</f>
        <v/>
      </c>
      <c r="P14" s="215" t="str">
        <f t="array" ref="P14">IF(OR($C14="",$E14=""),"",(INDEX('Emission factors'!$K$3:$V$201,MATCH($B14&amp;$C14&amp;$D14,'Emission factors'!$J$3:$J$201&amp;'Emission factors'!$K$3:$K$201&amp;'Emission factors'!$L$3:$L$201,0),MATCH(P$7,'Emission factors'!$K$2:$V$2,0)))*$G14)</f>
        <v/>
      </c>
    </row>
    <row r="15" spans="1:20" ht="15.75" thickBot="1" x14ac:dyDescent="0.3">
      <c r="A15" s="26"/>
      <c r="B15" s="179"/>
      <c r="C15" s="123"/>
      <c r="D15" s="123"/>
      <c r="E15" s="120"/>
      <c r="F15" s="126"/>
      <c r="G15" s="30" t="str">
        <f t="array" ref="G15">IF(OR($B15="",$C15="",$D15="",F15=""),"",IF(F15=H15,E15,(INDEX('Emission factors'!$K$3:$V$276,MATCH($B15&amp;$C15&amp;$D15,'Emission factors'!$J$3:$J$276&amp;'Emission factors'!$K$3:$K$276&amp;'Emission factors'!$L$3:$L$276,0),MATCH('School Travel &amp; Staff Commute'!G$7,'Emission factors'!$K$2:$V$2,0)))*E15))</f>
        <v/>
      </c>
      <c r="H15" s="29" t="str">
        <f t="array" ref="H15">IF(OR($B15="",$C15="",$E15=""),"",INDEX('Emission factors'!$K$3:$V$276,MATCH($B15&amp;$C15&amp;$D15,'Emission factors'!$J$3:$J$276&amp;'Emission factors'!$K$3:$K$276&amp;'Emission factors'!$L$3:$L$276,0),MATCH('School Travel &amp; Staff Commute'!H$7,'Emission factors'!$K$2:$V$2,0)))</f>
        <v/>
      </c>
      <c r="I15" s="29" t="str">
        <f t="array" ref="I15">IF(OR(B15="",C15="",D15=""),"",INDEX('Emission factors'!$K$3:$V$276,MATCH($B15&amp;$C15&amp;$D15,'Emission factors'!$J$3:$J$276&amp;'Emission factors'!$K$3:$K$276&amp;'Emission factors'!$L$3:$L$276,0),MATCH('School Travel &amp; Staff Commute'!I$7,'Emission factors'!$K$2:$V$2,0)))</f>
        <v/>
      </c>
      <c r="J15" s="32" t="str">
        <f>IF(OR(G15="",I15=""),"",SUM(BusinessTable[[#This Row],[Direct]:[Indirect WTT]]))</f>
        <v/>
      </c>
      <c r="K15" s="122"/>
      <c r="L15" s="215" t="str">
        <f t="array" ref="L15">IF(OR($C15="",$E15=""),"",(INDEX('Emission factors'!$K$3:$V$201,MATCH($B15&amp;$C15&amp;$D15,'Emission factors'!$J$3:$J$201&amp;'Emission factors'!$K$3:$K$201&amp;'Emission factors'!$L$3:$L$201,0),MATCH(L$7,'Emission factors'!$K$2:$V$2,0)))*$G15)</f>
        <v/>
      </c>
      <c r="M15" s="215" t="str">
        <f t="array" ref="M15">IF(OR($C15="",$E15=""),"",(INDEX('Emission factors'!$K$3:$V$201,MATCH($B15&amp;$C15&amp;$D15,'Emission factors'!$J$3:$J$201&amp;'Emission factors'!$K$3:$K$201&amp;'Emission factors'!$L$3:$L$201,0),MATCH(M$7,'Emission factors'!$K$2:$V$2,0)))*$G15)</f>
        <v/>
      </c>
      <c r="N15" s="215" t="str">
        <f t="array" ref="N15">IF(OR($C15="",$E15=""),"",(INDEX('Emission factors'!$K$3:$V$201,MATCH($B15&amp;$C15&amp;$D15,'Emission factors'!$J$3:$J$201&amp;'Emission factors'!$K$3:$K$201&amp;'Emission factors'!$L$3:$L$201,0),MATCH(N$7,'Emission factors'!$K$2:$V$2,0)))*$G15)</f>
        <v/>
      </c>
      <c r="O15" s="215" t="str">
        <f t="array" ref="O15">IF(OR($C15="",$E15=""),"",(INDEX('Emission factors'!$K$3:$V$201,MATCH($B15&amp;$C15&amp;$D15,'Emission factors'!$J$3:$J$201&amp;'Emission factors'!$K$3:$K$201&amp;'Emission factors'!$L$3:$L$201,0),MATCH(O$7,'Emission factors'!$K$2:$V$2,0)))*$G15)</f>
        <v/>
      </c>
      <c r="P15" s="215" t="str">
        <f t="array" ref="P15">IF(OR($C15="",$E15=""),"",(INDEX('Emission factors'!$K$3:$V$201,MATCH($B15&amp;$C15&amp;$D15,'Emission factors'!$J$3:$J$201&amp;'Emission factors'!$K$3:$K$201&amp;'Emission factors'!$L$3:$L$201,0),MATCH(P$7,'Emission factors'!$K$2:$V$2,0)))*$G15)</f>
        <v/>
      </c>
    </row>
    <row r="16" spans="1:20" ht="15.75" thickBot="1" x14ac:dyDescent="0.3">
      <c r="A16" s="26"/>
      <c r="B16" s="179"/>
      <c r="C16" s="123"/>
      <c r="D16" s="123"/>
      <c r="E16" s="120"/>
      <c r="F16" s="126"/>
      <c r="G16" s="30" t="str">
        <f t="array" ref="G16">IF(OR($B16="",$C16="",$D16="",F16=""),"",IF(F16=H16,E16,(INDEX('Emission factors'!$K$3:$V$276,MATCH($B16&amp;$C16&amp;$D16,'Emission factors'!$J$3:$J$276&amp;'Emission factors'!$K$3:$K$276&amp;'Emission factors'!$L$3:$L$276,0),MATCH('School Travel &amp; Staff Commute'!G$7,'Emission factors'!$K$2:$V$2,0)))*E16))</f>
        <v/>
      </c>
      <c r="H16" s="29" t="str">
        <f t="array" ref="H16">IF(OR($B16="",$C16="",$E16=""),"",INDEX('Emission factors'!$K$3:$V$276,MATCH($B16&amp;$C16&amp;$D16,'Emission factors'!$J$3:$J$276&amp;'Emission factors'!$K$3:$K$276&amp;'Emission factors'!$L$3:$L$276,0),MATCH('School Travel &amp; Staff Commute'!H$7,'Emission factors'!$K$2:$V$2,0)))</f>
        <v/>
      </c>
      <c r="I16" s="29" t="str">
        <f t="array" ref="I16">IF(OR(B16="",C16="",D16=""),"",INDEX('Emission factors'!$K$3:$V$276,MATCH($B16&amp;$C16&amp;$D16,'Emission factors'!$J$3:$J$276&amp;'Emission factors'!$K$3:$K$276&amp;'Emission factors'!$L$3:$L$276,0),MATCH('School Travel &amp; Staff Commute'!I$7,'Emission factors'!$K$2:$V$2,0)))</f>
        <v/>
      </c>
      <c r="J16" s="32" t="str">
        <f>IF(OR(G16="",I16=""),"",SUM(BusinessTable[[#This Row],[Direct]:[Indirect WTT]]))</f>
        <v/>
      </c>
      <c r="K16" s="122"/>
      <c r="L16" s="215" t="str">
        <f t="array" ref="L16">IF(OR($C16="",$E16=""),"",(INDEX('Emission factors'!$K$3:$V$201,MATCH($B16&amp;$C16&amp;$D16,'Emission factors'!$J$3:$J$201&amp;'Emission factors'!$K$3:$K$201&amp;'Emission factors'!$L$3:$L$201,0),MATCH(L$7,'Emission factors'!$K$2:$V$2,0)))*$G16)</f>
        <v/>
      </c>
      <c r="M16" s="215" t="str">
        <f t="array" ref="M16">IF(OR($C16="",$E16=""),"",(INDEX('Emission factors'!$K$3:$V$201,MATCH($B16&amp;$C16&amp;$D16,'Emission factors'!$J$3:$J$201&amp;'Emission factors'!$K$3:$K$201&amp;'Emission factors'!$L$3:$L$201,0),MATCH(M$7,'Emission factors'!$K$2:$V$2,0)))*$G16)</f>
        <v/>
      </c>
      <c r="N16" s="215" t="str">
        <f t="array" ref="N16">IF(OR($C16="",$E16=""),"",(INDEX('Emission factors'!$K$3:$V$201,MATCH($B16&amp;$C16&amp;$D16,'Emission factors'!$J$3:$J$201&amp;'Emission factors'!$K$3:$K$201&amp;'Emission factors'!$L$3:$L$201,0),MATCH(N$7,'Emission factors'!$K$2:$V$2,0)))*$G16)</f>
        <v/>
      </c>
      <c r="O16" s="215" t="str">
        <f t="array" ref="O16">IF(OR($C16="",$E16=""),"",(INDEX('Emission factors'!$K$3:$V$201,MATCH($B16&amp;$C16&amp;$D16,'Emission factors'!$J$3:$J$201&amp;'Emission factors'!$K$3:$K$201&amp;'Emission factors'!$L$3:$L$201,0),MATCH(O$7,'Emission factors'!$K$2:$V$2,0)))*$G16)</f>
        <v/>
      </c>
      <c r="P16" s="215" t="str">
        <f t="array" ref="P16">IF(OR($C16="",$E16=""),"",(INDEX('Emission factors'!$K$3:$V$201,MATCH($B16&amp;$C16&amp;$D16,'Emission factors'!$J$3:$J$201&amp;'Emission factors'!$K$3:$K$201&amp;'Emission factors'!$L$3:$L$201,0),MATCH(P$7,'Emission factors'!$K$2:$V$2,0)))*$G16)</f>
        <v/>
      </c>
    </row>
    <row r="17" spans="1:22" ht="15.75" thickBot="1" x14ac:dyDescent="0.3">
      <c r="A17" s="26"/>
      <c r="B17" s="179"/>
      <c r="C17" s="123"/>
      <c r="D17" s="123"/>
      <c r="E17" s="120"/>
      <c r="F17" s="126"/>
      <c r="G17" s="30" t="str">
        <f t="array" ref="G17">IF(OR($B17="",$C17="",$D17="",F17=""),"",IF(F17=H17,E17,(INDEX('Emission factors'!$K$3:$V$276,MATCH($B17&amp;$C17&amp;$D17,'Emission factors'!$J$3:$J$276&amp;'Emission factors'!$K$3:$K$276&amp;'Emission factors'!$L$3:$L$276,0),MATCH('School Travel &amp; Staff Commute'!G$7,'Emission factors'!$K$2:$V$2,0)))*E17))</f>
        <v/>
      </c>
      <c r="H17" s="29" t="str">
        <f t="array" ref="H17">IF(OR($B17="",$C17="",$E17=""),"",INDEX('Emission factors'!$K$3:$V$276,MATCH($B17&amp;$C17&amp;$D17,'Emission factors'!$J$3:$J$276&amp;'Emission factors'!$K$3:$K$276&amp;'Emission factors'!$L$3:$L$276,0),MATCH('School Travel &amp; Staff Commute'!H$7,'Emission factors'!$K$2:$V$2,0)))</f>
        <v/>
      </c>
      <c r="I17" s="29" t="str">
        <f t="array" ref="I17">IF(OR(B17="",C17="",D17=""),"",INDEX('Emission factors'!$K$3:$V$276,MATCH($B17&amp;$C17&amp;$D17,'Emission factors'!$J$3:$J$276&amp;'Emission factors'!$K$3:$K$276&amp;'Emission factors'!$L$3:$L$276,0),MATCH('School Travel &amp; Staff Commute'!I$7,'Emission factors'!$K$2:$V$2,0)))</f>
        <v/>
      </c>
      <c r="J17" s="32" t="str">
        <f>IF(OR(G17="",I17=""),"",SUM(BusinessTable[[#This Row],[Direct]:[Indirect WTT]]))</f>
        <v/>
      </c>
      <c r="K17" s="122"/>
      <c r="L17" s="215" t="str">
        <f t="array" ref="L17">IF(OR($C17="",$E17=""),"",(INDEX('Emission factors'!$K$3:$V$201,MATCH($B17&amp;$C17&amp;$D17,'Emission factors'!$J$3:$J$201&amp;'Emission factors'!$K$3:$K$201&amp;'Emission factors'!$L$3:$L$201,0),MATCH(L$7,'Emission factors'!$K$2:$V$2,0)))*$G17)</f>
        <v/>
      </c>
      <c r="M17" s="215" t="str">
        <f t="array" ref="M17">IF(OR($C17="",$E17=""),"",(INDEX('Emission factors'!$K$3:$V$201,MATCH($B17&amp;$C17&amp;$D17,'Emission factors'!$J$3:$J$201&amp;'Emission factors'!$K$3:$K$201&amp;'Emission factors'!$L$3:$L$201,0),MATCH(M$7,'Emission factors'!$K$2:$V$2,0)))*$G17)</f>
        <v/>
      </c>
      <c r="N17" s="215" t="str">
        <f t="array" ref="N17">IF(OR($C17="",$E17=""),"",(INDEX('Emission factors'!$K$3:$V$201,MATCH($B17&amp;$C17&amp;$D17,'Emission factors'!$J$3:$J$201&amp;'Emission factors'!$K$3:$K$201&amp;'Emission factors'!$L$3:$L$201,0),MATCH(N$7,'Emission factors'!$K$2:$V$2,0)))*$G17)</f>
        <v/>
      </c>
      <c r="O17" s="215" t="str">
        <f t="array" ref="O17">IF(OR($C17="",$E17=""),"",(INDEX('Emission factors'!$K$3:$V$201,MATCH($B17&amp;$C17&amp;$D17,'Emission factors'!$J$3:$J$201&amp;'Emission factors'!$K$3:$K$201&amp;'Emission factors'!$L$3:$L$201,0),MATCH(O$7,'Emission factors'!$K$2:$V$2,0)))*$G17)</f>
        <v/>
      </c>
      <c r="P17" s="215" t="str">
        <f t="array" ref="P17">IF(OR($C17="",$E17=""),"",(INDEX('Emission factors'!$K$3:$V$201,MATCH($B17&amp;$C17&amp;$D17,'Emission factors'!$J$3:$J$201&amp;'Emission factors'!$K$3:$K$201&amp;'Emission factors'!$L$3:$L$201,0),MATCH(P$7,'Emission factors'!$K$2:$V$2,0)))*$G17)</f>
        <v/>
      </c>
    </row>
    <row r="18" spans="1:22" ht="15.75" thickBot="1" x14ac:dyDescent="0.3">
      <c r="A18" s="26"/>
      <c r="B18" s="179"/>
      <c r="C18" s="123"/>
      <c r="D18" s="123"/>
      <c r="E18" s="120"/>
      <c r="F18" s="126"/>
      <c r="G18" s="30" t="str">
        <f t="array" ref="G18">IF(OR($B18="",$C18="",$D18="",F18=""),"",IF(F18=H18,E18,(INDEX('Emission factors'!$K$3:$V$276,MATCH($B18&amp;$C18&amp;$D18,'Emission factors'!$J$3:$J$276&amp;'Emission factors'!$K$3:$K$276&amp;'Emission factors'!$L$3:$L$276,0),MATCH('School Travel &amp; Staff Commute'!G$7,'Emission factors'!$K$2:$V$2,0)))*E18))</f>
        <v/>
      </c>
      <c r="H18" s="29" t="str">
        <f t="array" ref="H18">IF(OR($B18="",$C18="",$E18=""),"",INDEX('Emission factors'!$K$3:$V$276,MATCH($B18&amp;$C18&amp;$D18,'Emission factors'!$J$3:$J$276&amp;'Emission factors'!$K$3:$K$276&amp;'Emission factors'!$L$3:$L$276,0),MATCH('School Travel &amp; Staff Commute'!H$7,'Emission factors'!$K$2:$V$2,0)))</f>
        <v/>
      </c>
      <c r="I18" s="29" t="str">
        <f t="array" ref="I18">IF(OR(B18="",C18="",D18=""),"",INDEX('Emission factors'!$K$3:$V$276,MATCH($B18&amp;$C18&amp;$D18,'Emission factors'!$J$3:$J$276&amp;'Emission factors'!$K$3:$K$276&amp;'Emission factors'!$L$3:$L$276,0),MATCH('School Travel &amp; Staff Commute'!I$7,'Emission factors'!$K$2:$V$2,0)))</f>
        <v/>
      </c>
      <c r="J18" s="32" t="str">
        <f>IF(OR(G18="",I18=""),"",SUM(BusinessTable[[#This Row],[Direct]:[Indirect WTT]]))</f>
        <v/>
      </c>
      <c r="K18" s="122"/>
      <c r="L18" s="215" t="str">
        <f t="array" ref="L18">IF(OR($C18="",$E18=""),"",(INDEX('Emission factors'!$K$3:$V$201,MATCH($B18&amp;$C18&amp;$D18,'Emission factors'!$J$3:$J$201&amp;'Emission factors'!$K$3:$K$201&amp;'Emission factors'!$L$3:$L$201,0),MATCH(L$7,'Emission factors'!$K$2:$V$2,0)))*$G18)</f>
        <v/>
      </c>
      <c r="M18" s="215" t="str">
        <f t="array" ref="M18">IF(OR($C18="",$E18=""),"",(INDEX('Emission factors'!$K$3:$V$201,MATCH($B18&amp;$C18&amp;$D18,'Emission factors'!$J$3:$J$201&amp;'Emission factors'!$K$3:$K$201&amp;'Emission factors'!$L$3:$L$201,0),MATCH(M$7,'Emission factors'!$K$2:$V$2,0)))*$G18)</f>
        <v/>
      </c>
      <c r="N18" s="215" t="str">
        <f t="array" ref="N18">IF(OR($C18="",$E18=""),"",(INDEX('Emission factors'!$K$3:$V$201,MATCH($B18&amp;$C18&amp;$D18,'Emission factors'!$J$3:$J$201&amp;'Emission factors'!$K$3:$K$201&amp;'Emission factors'!$L$3:$L$201,0),MATCH(N$7,'Emission factors'!$K$2:$V$2,0)))*$G18)</f>
        <v/>
      </c>
      <c r="O18" s="215" t="str">
        <f t="array" ref="O18">IF(OR($C18="",$E18=""),"",(INDEX('Emission factors'!$K$3:$V$201,MATCH($B18&amp;$C18&amp;$D18,'Emission factors'!$J$3:$J$201&amp;'Emission factors'!$K$3:$K$201&amp;'Emission factors'!$L$3:$L$201,0),MATCH(O$7,'Emission factors'!$K$2:$V$2,0)))*$G18)</f>
        <v/>
      </c>
      <c r="P18" s="215" t="str">
        <f t="array" ref="P18">IF(OR($C18="",$E18=""),"",(INDEX('Emission factors'!$K$3:$V$201,MATCH($B18&amp;$C18&amp;$D18,'Emission factors'!$J$3:$J$201&amp;'Emission factors'!$K$3:$K$201&amp;'Emission factors'!$L$3:$L$201,0),MATCH(P$7,'Emission factors'!$K$2:$V$2,0)))*$G18)</f>
        <v/>
      </c>
    </row>
    <row r="19" spans="1:22" ht="15.75" thickBot="1" x14ac:dyDescent="0.3">
      <c r="A19" s="26"/>
      <c r="B19" s="179"/>
      <c r="C19" s="123"/>
      <c r="D19" s="123"/>
      <c r="E19" s="120"/>
      <c r="F19" s="126"/>
      <c r="G19" s="30" t="str">
        <f t="array" ref="G19">IF(OR($B19="",$C19="",$D19="",F19=""),"",IF(F19=H19,E19,(INDEX('Emission factors'!$K$3:$V$276,MATCH($B19&amp;$C19&amp;$D19,'Emission factors'!$J$3:$J$276&amp;'Emission factors'!$K$3:$K$276&amp;'Emission factors'!$L$3:$L$276,0),MATCH('School Travel &amp; Staff Commute'!G$7,'Emission factors'!$K$2:$V$2,0)))*E19))</f>
        <v/>
      </c>
      <c r="H19" s="29" t="str">
        <f t="array" ref="H19">IF(OR($B19="",$C19="",$E19=""),"",INDEX('Emission factors'!$K$3:$V$276,MATCH($B19&amp;$C19&amp;$D19,'Emission factors'!$J$3:$J$276&amp;'Emission factors'!$K$3:$K$276&amp;'Emission factors'!$L$3:$L$276,0),MATCH('School Travel &amp; Staff Commute'!H$7,'Emission factors'!$K$2:$V$2,0)))</f>
        <v/>
      </c>
      <c r="I19" s="29" t="str">
        <f t="array" ref="I19">IF(OR(B19="",C19="",D19=""),"",INDEX('Emission factors'!$K$3:$V$276,MATCH($B19&amp;$C19&amp;$D19,'Emission factors'!$J$3:$J$276&amp;'Emission factors'!$K$3:$K$276&amp;'Emission factors'!$L$3:$L$276,0),MATCH('School Travel &amp; Staff Commute'!I$7,'Emission factors'!$K$2:$V$2,0)))</f>
        <v/>
      </c>
      <c r="J19" s="32" t="str">
        <f>IF(OR(G19="",I19=""),"",SUM(BusinessTable[[#This Row],[Direct]:[Indirect WTT]]))</f>
        <v/>
      </c>
      <c r="K19" s="122"/>
      <c r="L19" s="215" t="str">
        <f t="array" ref="L19">IF(OR($C19="",$E19=""),"",(INDEX('Emission factors'!$K$3:$V$201,MATCH($B19&amp;$C19&amp;$D19,'Emission factors'!$J$3:$J$201&amp;'Emission factors'!$K$3:$K$201&amp;'Emission factors'!$L$3:$L$201,0),MATCH(L$7,'Emission factors'!$K$2:$V$2,0)))*$G19)</f>
        <v/>
      </c>
      <c r="M19" s="215" t="str">
        <f t="array" ref="M19">IF(OR($C19="",$E19=""),"",(INDEX('Emission factors'!$K$3:$V$201,MATCH($B19&amp;$C19&amp;$D19,'Emission factors'!$J$3:$J$201&amp;'Emission factors'!$K$3:$K$201&amp;'Emission factors'!$L$3:$L$201,0),MATCH(M$7,'Emission factors'!$K$2:$V$2,0)))*$G19)</f>
        <v/>
      </c>
      <c r="N19" s="215" t="str">
        <f t="array" ref="N19">IF(OR($C19="",$E19=""),"",(INDEX('Emission factors'!$K$3:$V$201,MATCH($B19&amp;$C19&amp;$D19,'Emission factors'!$J$3:$J$201&amp;'Emission factors'!$K$3:$K$201&amp;'Emission factors'!$L$3:$L$201,0),MATCH(N$7,'Emission factors'!$K$2:$V$2,0)))*$G19)</f>
        <v/>
      </c>
      <c r="O19" s="215" t="str">
        <f t="array" ref="O19">IF(OR($C19="",$E19=""),"",(INDEX('Emission factors'!$K$3:$V$201,MATCH($B19&amp;$C19&amp;$D19,'Emission factors'!$J$3:$J$201&amp;'Emission factors'!$K$3:$K$201&amp;'Emission factors'!$L$3:$L$201,0),MATCH(O$7,'Emission factors'!$K$2:$V$2,0)))*$G19)</f>
        <v/>
      </c>
      <c r="P19" s="215" t="str">
        <f t="array" ref="P19">IF(OR($C19="",$E19=""),"",(INDEX('Emission factors'!$K$3:$V$201,MATCH($B19&amp;$C19&amp;$D19,'Emission factors'!$J$3:$J$201&amp;'Emission factors'!$K$3:$K$201&amp;'Emission factors'!$L$3:$L$201,0),MATCH(P$7,'Emission factors'!$K$2:$V$2,0)))*$G19)</f>
        <v/>
      </c>
    </row>
    <row r="20" spans="1:22" ht="15.75" thickBot="1" x14ac:dyDescent="0.3">
      <c r="A20" s="26"/>
      <c r="B20" s="179"/>
      <c r="C20" s="123"/>
      <c r="D20" s="123"/>
      <c r="E20" s="120"/>
      <c r="F20" s="123"/>
      <c r="G20" s="30" t="str">
        <f t="array" ref="G20">IF(OR($B20="",$C20="",$D20="",F20=""),"",IF(F20=H20,E20,(INDEX('Emission factors'!$K$3:$V$276,MATCH($B20&amp;$C20&amp;$D20,'Emission factors'!$J$3:$J$276&amp;'Emission factors'!$K$3:$K$276&amp;'Emission factors'!$L$3:$L$276,0),MATCH('School Travel &amp; Staff Commute'!G$7,'Emission factors'!$K$2:$V$2,0)))*E20))</f>
        <v/>
      </c>
      <c r="H20" s="29" t="str">
        <f t="array" ref="H20">IF(OR($B20="",$C20="",$E20=""),"",INDEX('Emission factors'!$K$3:$V$276,MATCH($B20&amp;$C20&amp;$D20,'Emission factors'!$J$3:$J$276&amp;'Emission factors'!$K$3:$K$276&amp;'Emission factors'!$L$3:$L$276,0),MATCH('School Travel &amp; Staff Commute'!H$7,'Emission factors'!$K$2:$V$2,0)))</f>
        <v/>
      </c>
      <c r="I20" s="29" t="str">
        <f t="array" ref="I20">IF(OR(B20="",C20="",D20=""),"",INDEX('Emission factors'!$K$3:$V$276,MATCH($B20&amp;$C20&amp;$D20,'Emission factors'!$J$3:$J$276&amp;'Emission factors'!$K$3:$K$276&amp;'Emission factors'!$L$3:$L$276,0),MATCH('School Travel &amp; Staff Commute'!I$7,'Emission factors'!$K$2:$V$2,0)))</f>
        <v/>
      </c>
      <c r="J20" s="32" t="str">
        <f>IF(OR(G20="",I20=""),"",SUM(BusinessTable[[#This Row],[Direct]:[Indirect WTT]]))</f>
        <v/>
      </c>
      <c r="K20" s="122"/>
      <c r="L20" s="215" t="str">
        <f t="array" ref="L20">IF(OR($C20="",$E20=""),"",(INDEX('Emission factors'!$K$3:$V$201,MATCH($B20&amp;$C20&amp;$D20,'Emission factors'!$J$3:$J$201&amp;'Emission factors'!$K$3:$K$201&amp;'Emission factors'!$L$3:$L$201,0),MATCH(L$7,'Emission factors'!$K$2:$V$2,0)))*$G20)</f>
        <v/>
      </c>
      <c r="M20" s="215" t="str">
        <f t="array" ref="M20">IF(OR($C20="",$E20=""),"",(INDEX('Emission factors'!$K$3:$V$201,MATCH($B20&amp;$C20&amp;$D20,'Emission factors'!$J$3:$J$201&amp;'Emission factors'!$K$3:$K$201&amp;'Emission factors'!$L$3:$L$201,0),MATCH(M$7,'Emission factors'!$K$2:$V$2,0)))*$G20)</f>
        <v/>
      </c>
      <c r="N20" s="215" t="str">
        <f t="array" ref="N20">IF(OR($C20="",$E20=""),"",(INDEX('Emission factors'!$K$3:$V$201,MATCH($B20&amp;$C20&amp;$D20,'Emission factors'!$J$3:$J$201&amp;'Emission factors'!$K$3:$K$201&amp;'Emission factors'!$L$3:$L$201,0),MATCH(N$7,'Emission factors'!$K$2:$V$2,0)))*$G20)</f>
        <v/>
      </c>
      <c r="O20" s="215" t="str">
        <f t="array" ref="O20">IF(OR($C20="",$E20=""),"",(INDEX('Emission factors'!$K$3:$V$201,MATCH($B20&amp;$C20&amp;$D20,'Emission factors'!$J$3:$J$201&amp;'Emission factors'!$K$3:$K$201&amp;'Emission factors'!$L$3:$L$201,0),MATCH(O$7,'Emission factors'!$K$2:$V$2,0)))*$G20)</f>
        <v/>
      </c>
      <c r="P20" s="215" t="str">
        <f t="array" ref="P20">IF(OR($C20="",$E20=""),"",(INDEX('Emission factors'!$K$3:$V$201,MATCH($B20&amp;$C20&amp;$D20,'Emission factors'!$J$3:$J$201&amp;'Emission factors'!$K$3:$K$201&amp;'Emission factors'!$L$3:$L$201,0),MATCH(P$7,'Emission factors'!$K$2:$V$2,0)))*$G20)</f>
        <v/>
      </c>
    </row>
    <row r="21" spans="1:22" ht="15.75" thickBot="1" x14ac:dyDescent="0.3">
      <c r="A21" s="26"/>
      <c r="B21" s="179"/>
      <c r="C21" s="123"/>
      <c r="D21" s="123"/>
      <c r="E21" s="120"/>
      <c r="F21" s="123"/>
      <c r="G21" s="30" t="str">
        <f t="array" ref="G21">IF(OR($B21="",$C21="",$D21="",F21=""),"",IF(F21=H21,E21,(INDEX('Emission factors'!$K$3:$V$276,MATCH($B21&amp;$C21&amp;$D21,'Emission factors'!$J$3:$J$276&amp;'Emission factors'!$K$3:$K$276&amp;'Emission factors'!$L$3:$L$276,0),MATCH('School Travel &amp; Staff Commute'!G$7,'Emission factors'!$K$2:$V$2,0)))*E21))</f>
        <v/>
      </c>
      <c r="H21" s="29" t="str">
        <f t="array" ref="H21">IF(OR($B21="",$C21="",$E21=""),"",INDEX('Emission factors'!$K$3:$V$276,MATCH($B21&amp;$C21&amp;$D21,'Emission factors'!$J$3:$J$276&amp;'Emission factors'!$K$3:$K$276&amp;'Emission factors'!$L$3:$L$276,0),MATCH('School Travel &amp; Staff Commute'!H$7,'Emission factors'!$K$2:$V$2,0)))</f>
        <v/>
      </c>
      <c r="I21" s="29" t="str">
        <f t="array" ref="I21">IF(OR(B21="",C21="",D21=""),"",INDEX('Emission factors'!$K$3:$V$276,MATCH($B21&amp;$C21&amp;$D21,'Emission factors'!$J$3:$J$276&amp;'Emission factors'!$K$3:$K$276&amp;'Emission factors'!$L$3:$L$276,0),MATCH('School Travel &amp; Staff Commute'!I$7,'Emission factors'!$K$2:$V$2,0)))</f>
        <v/>
      </c>
      <c r="J21" s="32" t="str">
        <f>IF(OR(G21="",I21=""),"",SUM(BusinessTable[[#This Row],[Direct]:[Indirect WTT]]))</f>
        <v/>
      </c>
      <c r="K21" s="122"/>
      <c r="L21" s="215" t="str">
        <f t="array" ref="L21">IF(OR($C21="",$E21=""),"",(INDEX('Emission factors'!$K$3:$V$201,MATCH($B21&amp;$C21&amp;$D21,'Emission factors'!$J$3:$J$201&amp;'Emission factors'!$K$3:$K$201&amp;'Emission factors'!$L$3:$L$201,0),MATCH(L$7,'Emission factors'!$K$2:$V$2,0)))*$G21)</f>
        <v/>
      </c>
      <c r="M21" s="215" t="str">
        <f t="array" ref="M21">IF(OR($C21="",$E21=""),"",(INDEX('Emission factors'!$K$3:$V$201,MATCH($B21&amp;$C21&amp;$D21,'Emission factors'!$J$3:$J$201&amp;'Emission factors'!$K$3:$K$201&amp;'Emission factors'!$L$3:$L$201,0),MATCH(M$7,'Emission factors'!$K$2:$V$2,0)))*$G21)</f>
        <v/>
      </c>
      <c r="N21" s="215" t="str">
        <f t="array" ref="N21">IF(OR($C21="",$E21=""),"",(INDEX('Emission factors'!$K$3:$V$201,MATCH($B21&amp;$C21&amp;$D21,'Emission factors'!$J$3:$J$201&amp;'Emission factors'!$K$3:$K$201&amp;'Emission factors'!$L$3:$L$201,0),MATCH(N$7,'Emission factors'!$K$2:$V$2,0)))*$G21)</f>
        <v/>
      </c>
      <c r="O21" s="215" t="str">
        <f t="array" ref="O21">IF(OR($C21="",$E21=""),"",(INDEX('Emission factors'!$K$3:$V$201,MATCH($B21&amp;$C21&amp;$D21,'Emission factors'!$J$3:$J$201&amp;'Emission factors'!$K$3:$K$201&amp;'Emission factors'!$L$3:$L$201,0),MATCH(O$7,'Emission factors'!$K$2:$V$2,0)))*$G21)</f>
        <v/>
      </c>
      <c r="P21" s="215" t="str">
        <f t="array" ref="P21">IF(OR($C21="",$E21=""),"",(INDEX('Emission factors'!$K$3:$V$201,MATCH($B21&amp;$C21&amp;$D21,'Emission factors'!$J$3:$J$201&amp;'Emission factors'!$K$3:$K$201&amp;'Emission factors'!$L$3:$L$201,0),MATCH(P$7,'Emission factors'!$K$2:$V$2,0)))*$G21)</f>
        <v/>
      </c>
    </row>
    <row r="22" spans="1:22" ht="15.75" thickBot="1" x14ac:dyDescent="0.3">
      <c r="A22" s="26"/>
      <c r="B22" s="179"/>
      <c r="C22" s="123"/>
      <c r="D22" s="123"/>
      <c r="E22" s="120"/>
      <c r="F22" s="123"/>
      <c r="G22" s="30" t="str">
        <f t="array" ref="G22">IF(OR($B22="",$C22="",$D22="",F22=""),"",IF(F22=H22,E22,(INDEX('Emission factors'!$K$3:$V$276,MATCH($B22&amp;$C22&amp;$D22,'Emission factors'!$J$3:$J$276&amp;'Emission factors'!$K$3:$K$276&amp;'Emission factors'!$L$3:$L$276,0),MATCH('School Travel &amp; Staff Commute'!G$7,'Emission factors'!$K$2:$V$2,0)))*E22))</f>
        <v/>
      </c>
      <c r="H22" s="29" t="str">
        <f t="array" ref="H22">IF(OR($B22="",$C22="",$E22=""),"",INDEX('Emission factors'!$K$3:$V$276,MATCH($B22&amp;$C22&amp;$D22,'Emission factors'!$J$3:$J$276&amp;'Emission factors'!$K$3:$K$276&amp;'Emission factors'!$L$3:$L$276,0),MATCH('School Travel &amp; Staff Commute'!H$7,'Emission factors'!$K$2:$V$2,0)))</f>
        <v/>
      </c>
      <c r="I22" s="29" t="str">
        <f t="array" ref="I22">IF(OR(B22="",C22="",D22=""),"",INDEX('Emission factors'!$K$3:$V$276,MATCH($B22&amp;$C22&amp;$D22,'Emission factors'!$J$3:$J$276&amp;'Emission factors'!$K$3:$K$276&amp;'Emission factors'!$L$3:$L$276,0),MATCH('School Travel &amp; Staff Commute'!I$7,'Emission factors'!$K$2:$V$2,0)))</f>
        <v/>
      </c>
      <c r="J22" s="32" t="str">
        <f>IF(OR(G22="",I22=""),"",SUM(BusinessTable[[#This Row],[Direct]:[Indirect WTT]]))</f>
        <v/>
      </c>
      <c r="K22" s="122"/>
      <c r="L22" s="215" t="str">
        <f t="array" ref="L22">IF(OR($C22="",$E22=""),"",(INDEX('Emission factors'!$K$3:$V$201,MATCH($B22&amp;$C22&amp;$D22,'Emission factors'!$J$3:$J$201&amp;'Emission factors'!$K$3:$K$201&amp;'Emission factors'!$L$3:$L$201,0),MATCH(L$7,'Emission factors'!$K$2:$V$2,0)))*$G22)</f>
        <v/>
      </c>
      <c r="M22" s="215" t="str">
        <f t="array" ref="M22">IF(OR($C22="",$E22=""),"",(INDEX('Emission factors'!$K$3:$V$201,MATCH($B22&amp;$C22&amp;$D22,'Emission factors'!$J$3:$J$201&amp;'Emission factors'!$K$3:$K$201&amp;'Emission factors'!$L$3:$L$201,0),MATCH(M$7,'Emission factors'!$K$2:$V$2,0)))*$G22)</f>
        <v/>
      </c>
      <c r="N22" s="215" t="str">
        <f t="array" ref="N22">IF(OR($C22="",$E22=""),"",(INDEX('Emission factors'!$K$3:$V$201,MATCH($B22&amp;$C22&amp;$D22,'Emission factors'!$J$3:$J$201&amp;'Emission factors'!$K$3:$K$201&amp;'Emission factors'!$L$3:$L$201,0),MATCH(N$7,'Emission factors'!$K$2:$V$2,0)))*$G22)</f>
        <v/>
      </c>
      <c r="O22" s="215" t="str">
        <f t="array" ref="O22">IF(OR($C22="",$E22=""),"",(INDEX('Emission factors'!$K$3:$V$201,MATCH($B22&amp;$C22&amp;$D22,'Emission factors'!$J$3:$J$201&amp;'Emission factors'!$K$3:$K$201&amp;'Emission factors'!$L$3:$L$201,0),MATCH(O$7,'Emission factors'!$K$2:$V$2,0)))*$G22)</f>
        <v/>
      </c>
      <c r="P22" s="215" t="str">
        <f t="array" ref="P22">IF(OR($C22="",$E22=""),"",(INDEX('Emission factors'!$K$3:$V$201,MATCH($B22&amp;$C22&amp;$D22,'Emission factors'!$J$3:$J$201&amp;'Emission factors'!$K$3:$K$201&amp;'Emission factors'!$L$3:$L$201,0),MATCH(P$7,'Emission factors'!$K$2:$V$2,0)))*$G22)</f>
        <v/>
      </c>
    </row>
    <row r="23" spans="1:22" ht="15.75" thickBot="1" x14ac:dyDescent="0.3">
      <c r="A23" s="26"/>
      <c r="B23" s="179"/>
      <c r="C23" s="123"/>
      <c r="D23" s="123"/>
      <c r="E23" s="120"/>
      <c r="F23" s="123"/>
      <c r="G23" s="30" t="str">
        <f t="array" ref="G23">IF(OR($B23="",$C23="",$D23="",F23=""),"",IF(F23=H23,E23,(INDEX('Emission factors'!$K$3:$V$276,MATCH($B23&amp;$C23&amp;$D23,'Emission factors'!$J$3:$J$276&amp;'Emission factors'!$K$3:$K$276&amp;'Emission factors'!$L$3:$L$276,0),MATCH('School Travel &amp; Staff Commute'!G$7,'Emission factors'!$K$2:$V$2,0)))*E23))</f>
        <v/>
      </c>
      <c r="H23" s="29" t="str">
        <f t="array" ref="H23">IF(OR($B23="",$C23="",$E23=""),"",INDEX('Emission factors'!$K$3:$V$276,MATCH($B23&amp;$C23&amp;$D23,'Emission factors'!$J$3:$J$276&amp;'Emission factors'!$K$3:$K$276&amp;'Emission factors'!$L$3:$L$276,0),MATCH('School Travel &amp; Staff Commute'!H$7,'Emission factors'!$K$2:$V$2,0)))</f>
        <v/>
      </c>
      <c r="I23" s="29" t="str">
        <f t="array" ref="I23">IF(OR(B23="",C23="",D23=""),"",INDEX('Emission factors'!$K$3:$V$276,MATCH($B23&amp;$C23&amp;$D23,'Emission factors'!$J$3:$J$276&amp;'Emission factors'!$K$3:$K$276&amp;'Emission factors'!$L$3:$L$276,0),MATCH('School Travel &amp; Staff Commute'!I$7,'Emission factors'!$K$2:$V$2,0)))</f>
        <v/>
      </c>
      <c r="J23" s="32" t="str">
        <f>IF(OR(G23="",I23=""),"",SUM(BusinessTable[[#This Row],[Direct]:[Indirect WTT]]))</f>
        <v/>
      </c>
      <c r="K23" s="122"/>
      <c r="L23" s="215" t="str">
        <f t="array" ref="L23">IF(OR($C23="",$E23=""),"",(INDEX('Emission factors'!$K$3:$V$201,MATCH($B23&amp;$C23&amp;$D23,'Emission factors'!$J$3:$J$201&amp;'Emission factors'!$K$3:$K$201&amp;'Emission factors'!$L$3:$L$201,0),MATCH(L$7,'Emission factors'!$K$2:$V$2,0)))*$G23)</f>
        <v/>
      </c>
      <c r="M23" s="215" t="str">
        <f t="array" ref="M23">IF(OR($C23="",$E23=""),"",(INDEX('Emission factors'!$K$3:$V$201,MATCH($B23&amp;$C23&amp;$D23,'Emission factors'!$J$3:$J$201&amp;'Emission factors'!$K$3:$K$201&amp;'Emission factors'!$L$3:$L$201,0),MATCH(M$7,'Emission factors'!$K$2:$V$2,0)))*$G23)</f>
        <v/>
      </c>
      <c r="N23" s="215" t="str">
        <f t="array" ref="N23">IF(OR($C23="",$E23=""),"",(INDEX('Emission factors'!$K$3:$V$201,MATCH($B23&amp;$C23&amp;$D23,'Emission factors'!$J$3:$J$201&amp;'Emission factors'!$K$3:$K$201&amp;'Emission factors'!$L$3:$L$201,0),MATCH(N$7,'Emission factors'!$K$2:$V$2,0)))*$G23)</f>
        <v/>
      </c>
      <c r="O23" s="215" t="str">
        <f t="array" ref="O23">IF(OR($C23="",$E23=""),"",(INDEX('Emission factors'!$K$3:$V$201,MATCH($B23&amp;$C23&amp;$D23,'Emission factors'!$J$3:$J$201&amp;'Emission factors'!$K$3:$K$201&amp;'Emission factors'!$L$3:$L$201,0),MATCH(O$7,'Emission factors'!$K$2:$V$2,0)))*$G23)</f>
        <v/>
      </c>
      <c r="P23" s="215" t="str">
        <f t="array" ref="P23">IF(OR($C23="",$E23=""),"",(INDEX('Emission factors'!$K$3:$V$201,MATCH($B23&amp;$C23&amp;$D23,'Emission factors'!$J$3:$J$201&amp;'Emission factors'!$K$3:$K$201&amp;'Emission factors'!$L$3:$L$201,0),MATCH(P$7,'Emission factors'!$K$2:$V$2,0)))*$G23)</f>
        <v/>
      </c>
    </row>
    <row r="24" spans="1:22" ht="15.75" thickBot="1" x14ac:dyDescent="0.3">
      <c r="A24" s="26"/>
      <c r="B24" s="179"/>
      <c r="C24" s="123"/>
      <c r="D24" s="123"/>
      <c r="E24" s="120"/>
      <c r="F24" s="123"/>
      <c r="G24" s="30" t="str">
        <f t="array" ref="G24">IF(OR($B24="",$C24="",$D24="",F24=""),"",IF(F24=H24,E24,(INDEX('Emission factors'!$K$3:$V$276,MATCH($B24&amp;$C24&amp;$D24,'Emission factors'!$J$3:$J$276&amp;'Emission factors'!$K$3:$K$276&amp;'Emission factors'!$L$3:$L$276,0),MATCH('School Travel &amp; Staff Commute'!G$7,'Emission factors'!$K$2:$V$2,0)))*E24))</f>
        <v/>
      </c>
      <c r="H24" s="29" t="str">
        <f t="array" ref="H24">IF(OR($B24="",$C24="",$E24=""),"",INDEX('Emission factors'!$K$3:$V$276,MATCH($B24&amp;$C24&amp;$D24,'Emission factors'!$J$3:$J$276&amp;'Emission factors'!$K$3:$K$276&amp;'Emission factors'!$L$3:$L$276,0),MATCH('School Travel &amp; Staff Commute'!H$7,'Emission factors'!$K$2:$V$2,0)))</f>
        <v/>
      </c>
      <c r="I24" s="29" t="str">
        <f t="array" ref="I24">IF(OR(B24="",C24="",D24=""),"",INDEX('Emission factors'!$K$3:$V$276,MATCH($B24&amp;$C24&amp;$D24,'Emission factors'!$J$3:$J$276&amp;'Emission factors'!$K$3:$K$276&amp;'Emission factors'!$L$3:$L$276,0),MATCH('School Travel &amp; Staff Commute'!I$7,'Emission factors'!$K$2:$V$2,0)))</f>
        <v/>
      </c>
      <c r="J24" s="32" t="str">
        <f>IF(OR(G24="",I24=""),"",SUM(BusinessTable[[#This Row],[Direct]:[Indirect WTT]]))</f>
        <v/>
      </c>
      <c r="K24" s="122"/>
      <c r="L24" s="215" t="str">
        <f t="array" ref="L24">IF(OR($C24="",$E24=""),"",(INDEX('Emission factors'!$K$3:$V$201,MATCH($B24&amp;$C24&amp;$D24,'Emission factors'!$J$3:$J$201&amp;'Emission factors'!$K$3:$K$201&amp;'Emission factors'!$L$3:$L$201,0),MATCH(L$7,'Emission factors'!$K$2:$V$2,0)))*$G24)</f>
        <v/>
      </c>
      <c r="M24" s="215" t="str">
        <f t="array" ref="M24">IF(OR($C24="",$E24=""),"",(INDEX('Emission factors'!$K$3:$V$201,MATCH($B24&amp;$C24&amp;$D24,'Emission factors'!$J$3:$J$201&amp;'Emission factors'!$K$3:$K$201&amp;'Emission factors'!$L$3:$L$201,0),MATCH(M$7,'Emission factors'!$K$2:$V$2,0)))*$G24)</f>
        <v/>
      </c>
      <c r="N24" s="215" t="str">
        <f t="array" ref="N24">IF(OR($C24="",$E24=""),"",(INDEX('Emission factors'!$K$3:$V$201,MATCH($B24&amp;$C24&amp;$D24,'Emission factors'!$J$3:$J$201&amp;'Emission factors'!$K$3:$K$201&amp;'Emission factors'!$L$3:$L$201,0),MATCH(N$7,'Emission factors'!$K$2:$V$2,0)))*$G24)</f>
        <v/>
      </c>
      <c r="O24" s="215" t="str">
        <f t="array" ref="O24">IF(OR($C24="",$E24=""),"",(INDEX('Emission factors'!$K$3:$V$201,MATCH($B24&amp;$C24&amp;$D24,'Emission factors'!$J$3:$J$201&amp;'Emission factors'!$K$3:$K$201&amp;'Emission factors'!$L$3:$L$201,0),MATCH(O$7,'Emission factors'!$K$2:$V$2,0)))*$G24)</f>
        <v/>
      </c>
      <c r="P24" s="215" t="str">
        <f t="array" ref="P24">IF(OR($C24="",$E24=""),"",(INDEX('Emission factors'!$K$3:$V$201,MATCH($B24&amp;$C24&amp;$D24,'Emission factors'!$J$3:$J$201&amp;'Emission factors'!$K$3:$K$201&amp;'Emission factors'!$L$3:$L$201,0),MATCH(P$7,'Emission factors'!$K$2:$V$2,0)))*$G24)</f>
        <v/>
      </c>
    </row>
    <row r="25" spans="1:22" ht="15.75" thickBot="1" x14ac:dyDescent="0.3">
      <c r="A25" s="26"/>
      <c r="B25" s="179"/>
      <c r="C25" s="123"/>
      <c r="D25" s="123"/>
      <c r="E25" s="120"/>
      <c r="F25" s="123"/>
      <c r="G25" s="30" t="str">
        <f t="array" ref="G25">IF(OR($B25="",$C25="",$D25="",F25=""),"",IF(F25=H25,E25,(INDEX('Emission factors'!$K$3:$V$276,MATCH($B25&amp;$C25&amp;$D25,'Emission factors'!$J$3:$J$276&amp;'Emission factors'!$K$3:$K$276&amp;'Emission factors'!$L$3:$L$276,0),MATCH('School Travel &amp; Staff Commute'!G$7,'Emission factors'!$K$2:$V$2,0)))*E25))</f>
        <v/>
      </c>
      <c r="H25" s="29" t="str">
        <f t="array" ref="H25">IF(OR($B25="",$C25="",$E25=""),"",INDEX('Emission factors'!$K$3:$V$276,MATCH($B25&amp;$C25&amp;$D25,'Emission factors'!$J$3:$J$276&amp;'Emission factors'!$K$3:$K$276&amp;'Emission factors'!$L$3:$L$276,0),MATCH('School Travel &amp; Staff Commute'!H$7,'Emission factors'!$K$2:$V$2,0)))</f>
        <v/>
      </c>
      <c r="I25" s="29" t="str">
        <f t="array" ref="I25">IF(OR(B25="",C25="",D25=""),"",INDEX('Emission factors'!$K$3:$V$276,MATCH($B25&amp;$C25&amp;$D25,'Emission factors'!$J$3:$J$276&amp;'Emission factors'!$K$3:$K$276&amp;'Emission factors'!$L$3:$L$276,0),MATCH('School Travel &amp; Staff Commute'!I$7,'Emission factors'!$K$2:$V$2,0)))</f>
        <v/>
      </c>
      <c r="J25" s="32" t="str">
        <f>IF(OR(G25="",I25=""),"",SUM(BusinessTable[[#This Row],[Direct]:[Indirect WTT]]))</f>
        <v/>
      </c>
      <c r="K25" s="122"/>
      <c r="L25" s="215" t="str">
        <f t="array" ref="L25">IF(OR($C25="",$E25=""),"",(INDEX('Emission factors'!$K$3:$V$201,MATCH($B25&amp;$C25&amp;$D25,'Emission factors'!$J$3:$J$201&amp;'Emission factors'!$K$3:$K$201&amp;'Emission factors'!$L$3:$L$201,0),MATCH(L$7,'Emission factors'!$K$2:$V$2,0)))*$G25)</f>
        <v/>
      </c>
      <c r="M25" s="215" t="str">
        <f t="array" ref="M25">IF(OR($C25="",$E25=""),"",(INDEX('Emission factors'!$K$3:$V$201,MATCH($B25&amp;$C25&amp;$D25,'Emission factors'!$J$3:$J$201&amp;'Emission factors'!$K$3:$K$201&amp;'Emission factors'!$L$3:$L$201,0),MATCH(M$7,'Emission factors'!$K$2:$V$2,0)))*$G25)</f>
        <v/>
      </c>
      <c r="N25" s="215" t="str">
        <f t="array" ref="N25">IF(OR($C25="",$E25=""),"",(INDEX('Emission factors'!$K$3:$V$201,MATCH($B25&amp;$C25&amp;$D25,'Emission factors'!$J$3:$J$201&amp;'Emission factors'!$K$3:$K$201&amp;'Emission factors'!$L$3:$L$201,0),MATCH(N$7,'Emission factors'!$K$2:$V$2,0)))*$G25)</f>
        <v/>
      </c>
      <c r="O25" s="215" t="str">
        <f t="array" ref="O25">IF(OR($C25="",$E25=""),"",(INDEX('Emission factors'!$K$3:$V$201,MATCH($B25&amp;$C25&amp;$D25,'Emission factors'!$J$3:$J$201&amp;'Emission factors'!$K$3:$K$201&amp;'Emission factors'!$L$3:$L$201,0),MATCH(O$7,'Emission factors'!$K$2:$V$2,0)))*$G25)</f>
        <v/>
      </c>
      <c r="P25" s="215" t="str">
        <f t="array" ref="P25">IF(OR($C25="",$E25=""),"",(INDEX('Emission factors'!$K$3:$V$201,MATCH($B25&amp;$C25&amp;$D25,'Emission factors'!$J$3:$J$201&amp;'Emission factors'!$K$3:$K$201&amp;'Emission factors'!$L$3:$L$201,0),MATCH(P$7,'Emission factors'!$K$2:$V$2,0)))*$G25)</f>
        <v/>
      </c>
    </row>
    <row r="26" spans="1:22" ht="15.75" thickBot="1" x14ac:dyDescent="0.3">
      <c r="A26" s="26"/>
      <c r="B26" s="179"/>
      <c r="C26" s="123"/>
      <c r="D26" s="123"/>
      <c r="E26" s="120"/>
      <c r="F26" s="123"/>
      <c r="G26" s="30" t="str">
        <f t="array" ref="G26">IF(OR($B26="",$C26="",$D26="",F26=""),"",IF(F26=H26,E26,(INDEX('Emission factors'!$K$3:$V$276,MATCH($B26&amp;$C26&amp;$D26,'Emission factors'!$J$3:$J$276&amp;'Emission factors'!$K$3:$K$276&amp;'Emission factors'!$L$3:$L$276,0),MATCH('School Travel &amp; Staff Commute'!G$7,'Emission factors'!$K$2:$V$2,0)))*E26))</f>
        <v/>
      </c>
      <c r="H26" s="29" t="str">
        <f t="array" ref="H26">IF(OR($B26="",$C26="",$E26=""),"",INDEX('Emission factors'!$K$3:$V$276,MATCH($B26&amp;$C26&amp;$D26,'Emission factors'!$J$3:$J$276&amp;'Emission factors'!$K$3:$K$276&amp;'Emission factors'!$L$3:$L$276,0),MATCH('School Travel &amp; Staff Commute'!H$7,'Emission factors'!$K$2:$V$2,0)))</f>
        <v/>
      </c>
      <c r="I26" s="29" t="str">
        <f t="array" ref="I26">IF(OR(B26="",C26="",D26=""),"",INDEX('Emission factors'!$K$3:$V$276,MATCH($B26&amp;$C26&amp;$D26,'Emission factors'!$J$3:$J$276&amp;'Emission factors'!$K$3:$K$276&amp;'Emission factors'!$L$3:$L$276,0),MATCH('School Travel &amp; Staff Commute'!I$7,'Emission factors'!$K$2:$V$2,0)))</f>
        <v/>
      </c>
      <c r="J26" s="32" t="str">
        <f>IF(OR(G26="",I26=""),"",SUM(BusinessTable[[#This Row],[Direct]:[Indirect WTT]]))</f>
        <v/>
      </c>
      <c r="K26" s="122"/>
      <c r="L26" s="215" t="str">
        <f t="array" ref="L26">IF(OR($C26="",$E26=""),"",(INDEX('Emission factors'!$K$3:$V$201,MATCH($B26&amp;$C26&amp;$D26,'Emission factors'!$J$3:$J$201&amp;'Emission factors'!$K$3:$K$201&amp;'Emission factors'!$L$3:$L$201,0),MATCH(L$7,'Emission factors'!$K$2:$V$2,0)))*$G26)</f>
        <v/>
      </c>
      <c r="M26" s="215" t="str">
        <f t="array" ref="M26">IF(OR($C26="",$E26=""),"",(INDEX('Emission factors'!$K$3:$V$201,MATCH($B26&amp;$C26&amp;$D26,'Emission factors'!$J$3:$J$201&amp;'Emission factors'!$K$3:$K$201&amp;'Emission factors'!$L$3:$L$201,0),MATCH(M$7,'Emission factors'!$K$2:$V$2,0)))*$G26)</f>
        <v/>
      </c>
      <c r="N26" s="215" t="str">
        <f t="array" ref="N26">IF(OR($C26="",$E26=""),"",(INDEX('Emission factors'!$K$3:$V$201,MATCH($B26&amp;$C26&amp;$D26,'Emission factors'!$J$3:$J$201&amp;'Emission factors'!$K$3:$K$201&amp;'Emission factors'!$L$3:$L$201,0),MATCH(N$7,'Emission factors'!$K$2:$V$2,0)))*$G26)</f>
        <v/>
      </c>
      <c r="O26" s="215" t="str">
        <f t="array" ref="O26">IF(OR($C26="",$E26=""),"",(INDEX('Emission factors'!$K$3:$V$201,MATCH($B26&amp;$C26&amp;$D26,'Emission factors'!$J$3:$J$201&amp;'Emission factors'!$K$3:$K$201&amp;'Emission factors'!$L$3:$L$201,0),MATCH(O$7,'Emission factors'!$K$2:$V$2,0)))*$G26)</f>
        <v/>
      </c>
      <c r="P26" s="215" t="str">
        <f t="array" ref="P26">IF(OR($C26="",$E26=""),"",(INDEX('Emission factors'!$K$3:$V$201,MATCH($B26&amp;$C26&amp;$D26,'Emission factors'!$J$3:$J$201&amp;'Emission factors'!$K$3:$K$201&amp;'Emission factors'!$L$3:$L$201,0),MATCH(P$7,'Emission factors'!$K$2:$V$2,0)))*$G26)</f>
        <v/>
      </c>
    </row>
    <row r="27" spans="1:22" ht="15.75" thickBot="1" x14ac:dyDescent="0.3">
      <c r="A27" s="26"/>
      <c r="B27" s="179"/>
      <c r="C27" s="123"/>
      <c r="D27" s="123"/>
      <c r="E27" s="120"/>
      <c r="F27" s="123"/>
      <c r="G27" s="42" t="str">
        <f t="array" ref="G27">IF(OR($B27="",$C27="",$D27="",F27=""),"",IF(F27=H27,E27,(INDEX('Emission factors'!$K$3:$V$276,MATCH($B27&amp;$C27&amp;$D27,'Emission factors'!$J$3:$J$276&amp;'Emission factors'!$K$3:$K$276&amp;'Emission factors'!$L$3:$L$276,0),MATCH('School Travel &amp; Staff Commute'!G$7,'Emission factors'!$K$2:$V$2,0)))*E27))</f>
        <v/>
      </c>
      <c r="H27" s="43" t="str">
        <f t="array" ref="H27">IF(OR($B27="",$C27="",$E27=""),"",INDEX('Emission factors'!$K$3:$V$276,MATCH($B27&amp;$C27&amp;$D27,'Emission factors'!$J$3:$J$276&amp;'Emission factors'!$K$3:$K$276&amp;'Emission factors'!$L$3:$L$276,0),MATCH('School Travel &amp; Staff Commute'!H$7,'Emission factors'!$K$2:$V$2,0)))</f>
        <v/>
      </c>
      <c r="I27" s="43" t="str">
        <f t="array" ref="I27">IF(OR(B27="",C27="",D27=""),"",INDEX('Emission factors'!$K$3:$V$276,MATCH($B27&amp;$C27&amp;$D27,'Emission factors'!$J$3:$J$276&amp;'Emission factors'!$K$3:$K$276&amp;'Emission factors'!$L$3:$L$276,0),MATCH('School Travel &amp; Staff Commute'!I$7,'Emission factors'!$K$2:$V$2,0)))</f>
        <v/>
      </c>
      <c r="J27" s="32" t="str">
        <f>IF(OR(G27="",I27=""),"",SUM(BusinessTable[[#This Row],[Direct]:[Indirect WTT]]))</f>
        <v/>
      </c>
      <c r="K27" s="124"/>
      <c r="L27" s="216" t="str">
        <f t="array" ref="L27">IF(OR($C27="",$E27=""),"",(INDEX('Emission factors'!$K$3:$V$201,MATCH($B27&amp;$C27&amp;$D27,'Emission factors'!$J$3:$J$201&amp;'Emission factors'!$K$3:$K$201&amp;'Emission factors'!$L$3:$L$201,0),MATCH(L$7,'Emission factors'!$K$2:$V$2,0)))*$G27)</f>
        <v/>
      </c>
      <c r="M27" s="216" t="str">
        <f t="array" ref="M27">IF(OR($C27="",$E27=""),"",(INDEX('Emission factors'!$K$3:$V$201,MATCH($B27&amp;$C27&amp;$D27,'Emission factors'!$J$3:$J$201&amp;'Emission factors'!$K$3:$K$201&amp;'Emission factors'!$L$3:$L$201,0),MATCH(M$7,'Emission factors'!$K$2:$V$2,0)))*$G27)</f>
        <v/>
      </c>
      <c r="N27" s="216" t="str">
        <f t="array" ref="N27">IF(OR($C27="",$E27=""),"",(INDEX('Emission factors'!$K$3:$V$201,MATCH($B27&amp;$C27&amp;$D27,'Emission factors'!$J$3:$J$201&amp;'Emission factors'!$K$3:$K$201&amp;'Emission factors'!$L$3:$L$201,0),MATCH(N$7,'Emission factors'!$K$2:$V$2,0)))*$G27)</f>
        <v/>
      </c>
      <c r="O27" s="216" t="str">
        <f t="array" ref="O27">IF(OR($C27="",$E27=""),"",(INDEX('Emission factors'!$K$3:$V$201,MATCH($B27&amp;$C27&amp;$D27,'Emission factors'!$J$3:$J$201&amp;'Emission factors'!$K$3:$K$201&amp;'Emission factors'!$L$3:$L$201,0),MATCH(O$7,'Emission factors'!$K$2:$V$2,0)))*$G27)</f>
        <v/>
      </c>
      <c r="P27" s="216" t="str">
        <f t="array" ref="P27">IF(OR($C27="",$E27=""),"",(INDEX('Emission factors'!$K$3:$V$201,MATCH($B27&amp;$C27&amp;$D27,'Emission factors'!$J$3:$J$201&amp;'Emission factors'!$K$3:$K$201&amp;'Emission factors'!$L$3:$L$201,0),MATCH(P$7,'Emission factors'!$K$2:$V$2,0)))*$G27)</f>
        <v/>
      </c>
    </row>
    <row r="28" spans="1:22" x14ac:dyDescent="0.25">
      <c r="A28" s="44"/>
      <c r="B28" s="46"/>
      <c r="C28" s="46"/>
      <c r="D28" s="46"/>
      <c r="E28" s="27"/>
      <c r="F28" s="27"/>
      <c r="G28" s="27"/>
      <c r="H28" s="27"/>
      <c r="I28" s="27"/>
      <c r="J28" s="27"/>
      <c r="K28" s="27"/>
      <c r="L28" s="27"/>
      <c r="M28" s="27"/>
      <c r="N28" s="27"/>
      <c r="O28" s="27"/>
      <c r="P28" s="27"/>
      <c r="Q28" s="27"/>
      <c r="R28" s="27"/>
      <c r="S28" s="27"/>
      <c r="T28" s="27"/>
      <c r="U28" s="219"/>
      <c r="V28" s="108"/>
    </row>
    <row r="29" spans="1:22" ht="19.5" thickBot="1" x14ac:dyDescent="0.3">
      <c r="B29" s="31" t="s">
        <v>23</v>
      </c>
      <c r="I29" s="128" t="str">
        <f>IFERROR(IF(SUM(CommutingTable[Total EF (kgCO2e/unit)])&gt;0,"No errors in this table","No data entered"), "There is an error in this table, see highlighted row(s)")</f>
        <v>No data entered</v>
      </c>
      <c r="L29" s="40" t="s">
        <v>61</v>
      </c>
      <c r="T29" s="44"/>
      <c r="U29" s="220"/>
      <c r="V29" s="54"/>
    </row>
    <row r="30" spans="1:22" ht="30.75" thickBot="1" x14ac:dyDescent="0.3">
      <c r="B30" s="41" t="s">
        <v>103</v>
      </c>
      <c r="C30" s="28" t="s">
        <v>64</v>
      </c>
      <c r="D30" s="28" t="s">
        <v>104</v>
      </c>
      <c r="E30" s="28" t="s">
        <v>67</v>
      </c>
      <c r="F30" s="28" t="s">
        <v>68</v>
      </c>
      <c r="G30" s="28" t="s">
        <v>69</v>
      </c>
      <c r="H30" s="28" t="s">
        <v>70</v>
      </c>
      <c r="I30" s="28" t="s">
        <v>71</v>
      </c>
      <c r="J30" s="28" t="s">
        <v>39</v>
      </c>
      <c r="K30" s="28" t="s">
        <v>72</v>
      </c>
      <c r="L30" s="82" t="s">
        <v>14</v>
      </c>
      <c r="M30" s="82" t="s">
        <v>73</v>
      </c>
      <c r="N30" s="82" t="s">
        <v>74</v>
      </c>
      <c r="O30" s="82" t="s">
        <v>75</v>
      </c>
      <c r="P30" s="82" t="s">
        <v>76</v>
      </c>
    </row>
    <row r="31" spans="1:22" ht="15.75" thickBot="1" x14ac:dyDescent="0.3">
      <c r="B31" s="126"/>
      <c r="C31" s="123"/>
      <c r="D31" s="123"/>
      <c r="E31" s="120"/>
      <c r="F31" s="123"/>
      <c r="G31" s="30" t="str">
        <f t="array" ref="G31">IF(OR($B31="",$C31="",$D31="",F31=""),"",IF(F31=H31,E31,(INDEX('Emission factors'!$K$3:$V$276,MATCH($B31&amp;$C31&amp;$D31,'Emission factors'!$J$3:$J$276&amp;'Emission factors'!$K$3:$K$276&amp;'Emission factors'!$L$3:$L$276,0),MATCH('School Travel &amp; Staff Commute'!G$7,'Emission factors'!$K$2:$V$2,0)))*E31))</f>
        <v/>
      </c>
      <c r="H31" s="29" t="str">
        <f t="array" ref="H31">IF(OR($B31="",$C31="",$E31=""),"",INDEX('Emission factors'!$K$3:$V$276,MATCH($B31&amp;$C31&amp;$D31,'Emission factors'!$J$3:$J$276&amp;'Emission factors'!$K$3:$K$276&amp;'Emission factors'!$L$3:$L$276,0),MATCH('School Travel &amp; Staff Commute'!H$7,'Emission factors'!$K$2:$V$2,0)))</f>
        <v/>
      </c>
      <c r="I31" s="29" t="str">
        <f t="array" ref="I31">IF(OR(B31="",C31="",D31=""),"",INDEX('Emission factors'!$K$3:$V$276,MATCH($B31&amp;$C31&amp;$D31,'Emission factors'!$J$3:$J$276&amp;'Emission factors'!$K$3:$K$276&amp;'Emission factors'!$L$3:$L$276,0),MATCH('School Travel &amp; Staff Commute'!I$7,'Emission factors'!$K$2:$V$2,0)))</f>
        <v/>
      </c>
      <c r="J31" s="32" t="str">
        <f>IF(OR(G31="",I31=""),"",SUM(CommutingTable[[#This Row],[Direct]:[Indirect WTT]]))</f>
        <v/>
      </c>
      <c r="K31" s="122"/>
      <c r="L31" s="215" t="str">
        <f t="array" ref="L31">IF(OR($C31="",$E31="",CommutingTable[[#This Row],[Converted data]]=""),"",(INDEX('Emission factors'!$K$3:$V$201,MATCH($B31&amp;$C31&amp;$D31,'Emission factors'!$J$3:$J$201&amp;'Emission factors'!$K$3:$K$201&amp;'Emission factors'!$L$3:$L$201,0),MATCH(L$30,'Emission factors'!$K$2:$V$2,0)))*$G31)</f>
        <v/>
      </c>
      <c r="M31" s="215" t="str">
        <f t="array" ref="M31">IF(OR($C31="",$E31="",CommutingTable[[#This Row],[Converted data]]=""),"",(INDEX('Emission factors'!$K$3:$V$201,MATCH($B31&amp;$C31&amp;$D31,'Emission factors'!$J$3:$J$201&amp;'Emission factors'!$K$3:$K$201&amp;'Emission factors'!$L$3:$L$201,0),MATCH(M$30,'Emission factors'!$K$2:$V$2,0)))*$G31)</f>
        <v/>
      </c>
      <c r="N31" s="215" t="str">
        <f t="array" ref="N31">IF(OR($C31="",$E31="",CommutingTable[[#This Row],[Converted data]]=""),"",(INDEX('Emission factors'!$K$3:$V$201,MATCH($B31&amp;$C31&amp;$D31,'Emission factors'!$J$3:$J$201&amp;'Emission factors'!$K$3:$K$201&amp;'Emission factors'!$L$3:$L$201,0),MATCH(N$30,'Emission factors'!$K$2:$V$2,0)))*$G31)</f>
        <v/>
      </c>
      <c r="O31" s="215" t="str">
        <f t="array" ref="O31">IF(OR($C31="",$E31="",CommutingTable[[#This Row],[Converted data]]=""),"",(INDEX('Emission factors'!$K$3:$V$201,MATCH($B31&amp;$C31&amp;$D31,'Emission factors'!$J$3:$J$201&amp;'Emission factors'!$K$3:$K$201&amp;'Emission factors'!$L$3:$L$201,0),MATCH(O$30,'Emission factors'!$K$2:$V$2,0)))*$G31)</f>
        <v/>
      </c>
      <c r="P31" s="215" t="str">
        <f t="array" ref="P31">IF(OR($C31="",$E31="",CommutingTable[[#This Row],[Converted data]]=""),"",(INDEX('Emission factors'!$K$3:$V$201,MATCH($B31&amp;$C31&amp;$D31,'Emission factors'!$J$3:$J$201&amp;'Emission factors'!$K$3:$K$201&amp;'Emission factors'!$L$3:$L$201,0),MATCH(P$30,'Emission factors'!$K$2:$V$2,0)))*$G31)</f>
        <v/>
      </c>
    </row>
    <row r="32" spans="1:22" ht="15.75" thickBot="1" x14ac:dyDescent="0.3">
      <c r="B32" s="126"/>
      <c r="C32" s="123"/>
      <c r="D32" s="123"/>
      <c r="E32" s="120"/>
      <c r="F32" s="123"/>
      <c r="G32" s="30" t="str">
        <f t="array" ref="G32">IF(OR($B32="",$C32="",$D32="",F32=""),"",IF(F32=H32,E32,(INDEX('Emission factors'!$K$3:$V$276,MATCH($B32&amp;$C32&amp;$D32,'Emission factors'!$J$3:$J$276&amp;'Emission factors'!$K$3:$K$276&amp;'Emission factors'!$L$3:$L$276,0),MATCH('School Travel &amp; Staff Commute'!G$7,'Emission factors'!$K$2:$V$2,0)))*E32))</f>
        <v/>
      </c>
      <c r="H32" s="29" t="str">
        <f t="array" ref="H32">IF(OR($B32="",$C32="",$E32=""),"",INDEX('Emission factors'!$K$3:$V$276,MATCH($B32&amp;$C32&amp;$D32,'Emission factors'!$J$3:$J$276&amp;'Emission factors'!$K$3:$K$276&amp;'Emission factors'!$L$3:$L$276,0),MATCH('School Travel &amp; Staff Commute'!H$7,'Emission factors'!$K$2:$V$2,0)))</f>
        <v/>
      </c>
      <c r="I32" s="29" t="str">
        <f t="array" ref="I32">IF(OR(B32="",C32="",D32=""),"",INDEX('Emission factors'!$K$3:$V$276,MATCH($B32&amp;$C32&amp;$D32,'Emission factors'!$J$3:$J$276&amp;'Emission factors'!$K$3:$K$276&amp;'Emission factors'!$L$3:$L$276,0),MATCH('School Travel &amp; Staff Commute'!I$7,'Emission factors'!$K$2:$V$2,0)))</f>
        <v/>
      </c>
      <c r="J32" s="32" t="str">
        <f>IF(OR(G32="",I32=""),"",SUM(CommutingTable[[#This Row],[Direct]:[Indirect WTT]]))</f>
        <v/>
      </c>
      <c r="K32" s="122"/>
      <c r="L32" s="215" t="str">
        <f t="array" ref="L32">IF(OR($C32="",$E32="",CommutingTable[[#This Row],[Converted data]]=""),"",(INDEX('Emission factors'!$K$3:$V$201,MATCH($B32&amp;$C32&amp;$D32,'Emission factors'!$J$3:$J$201&amp;'Emission factors'!$K$3:$K$201&amp;'Emission factors'!$L$3:$L$201,0),MATCH(L$30,'Emission factors'!$K$2:$V$2,0)))*$G32)</f>
        <v/>
      </c>
      <c r="M32" s="215" t="str">
        <f t="array" ref="M32">IF(OR($C32="",$E32="",CommutingTable[[#This Row],[Converted data]]=""),"",(INDEX('Emission factors'!$K$3:$V$201,MATCH($B32&amp;$C32&amp;$D32,'Emission factors'!$J$3:$J$201&amp;'Emission factors'!$K$3:$K$201&amp;'Emission factors'!$L$3:$L$201,0),MATCH(M$30,'Emission factors'!$K$2:$V$2,0)))*$G32)</f>
        <v/>
      </c>
      <c r="N32" s="215" t="str">
        <f t="array" ref="N32">IF(OR($C32="",$E32="",CommutingTable[[#This Row],[Converted data]]=""),"",(INDEX('Emission factors'!$K$3:$V$201,MATCH($B32&amp;$C32&amp;$D32,'Emission factors'!$J$3:$J$201&amp;'Emission factors'!$K$3:$K$201&amp;'Emission factors'!$L$3:$L$201,0),MATCH(N$30,'Emission factors'!$K$2:$V$2,0)))*$G32)</f>
        <v/>
      </c>
      <c r="O32" s="215" t="str">
        <f t="array" ref="O32">IF(OR($C32="",$E32="",CommutingTable[[#This Row],[Converted data]]=""),"",(INDEX('Emission factors'!$K$3:$V$201,MATCH($B32&amp;$C32&amp;$D32,'Emission factors'!$J$3:$J$201&amp;'Emission factors'!$K$3:$K$201&amp;'Emission factors'!$L$3:$L$201,0),MATCH(O$30,'Emission factors'!$K$2:$V$2,0)))*$G32)</f>
        <v/>
      </c>
      <c r="P32" s="215" t="str">
        <f t="array" ref="P32">IF(OR($C32="",$E32="",CommutingTable[[#This Row],[Converted data]]=""),"",(INDEX('Emission factors'!$K$3:$V$201,MATCH($B32&amp;$C32&amp;$D32,'Emission factors'!$J$3:$J$201&amp;'Emission factors'!$K$3:$K$201&amp;'Emission factors'!$L$3:$L$201,0),MATCH(P$30,'Emission factors'!$K$2:$V$2,0)))*$G32)</f>
        <v/>
      </c>
    </row>
    <row r="33" spans="2:16" ht="15.75" thickBot="1" x14ac:dyDescent="0.3">
      <c r="B33" s="126"/>
      <c r="C33" s="123"/>
      <c r="D33" s="123"/>
      <c r="E33" s="120"/>
      <c r="F33" s="123"/>
      <c r="G33" s="30" t="str">
        <f t="array" ref="G33">IF(OR($B33="",$C33="",$D33="",F33=""),"",IF(F33=H33,E33,(INDEX('Emission factors'!$K$3:$V$276,MATCH($B33&amp;$C33&amp;$D33,'Emission factors'!$J$3:$J$276&amp;'Emission factors'!$K$3:$K$276&amp;'Emission factors'!$L$3:$L$276,0),MATCH('School Travel &amp; Staff Commute'!G$7,'Emission factors'!$K$2:$V$2,0)))*E33))</f>
        <v/>
      </c>
      <c r="H33" s="29" t="str">
        <f t="array" ref="H33">IF(OR($B33="",$C33="",$E33=""),"",INDEX('Emission factors'!$K$3:$V$276,MATCH($B33&amp;$C33&amp;$D33,'Emission factors'!$J$3:$J$276&amp;'Emission factors'!$K$3:$K$276&amp;'Emission factors'!$L$3:$L$276,0),MATCH('School Travel &amp; Staff Commute'!H$7,'Emission factors'!$K$2:$V$2,0)))</f>
        <v/>
      </c>
      <c r="I33" s="29" t="str">
        <f t="array" ref="I33">IF(OR(B33="",C33="",D33=""),"",INDEX('Emission factors'!$K$3:$V$276,MATCH($B33&amp;$C33&amp;$D33,'Emission factors'!$J$3:$J$276&amp;'Emission factors'!$K$3:$K$276&amp;'Emission factors'!$L$3:$L$276,0),MATCH('School Travel &amp; Staff Commute'!I$7,'Emission factors'!$K$2:$V$2,0)))</f>
        <v/>
      </c>
      <c r="J33" s="32" t="str">
        <f>IF(OR(G33="",I33=""),"",SUM(CommutingTable[[#This Row],[Direct]:[Indirect WTT]]))</f>
        <v/>
      </c>
      <c r="K33" s="122"/>
      <c r="L33" s="215" t="str">
        <f t="array" ref="L33">IF(OR($C33="",$E33="",CommutingTable[[#This Row],[Converted data]]=""),"",(INDEX('Emission factors'!$K$3:$V$201,MATCH($B33&amp;$C33&amp;$D33,'Emission factors'!$J$3:$J$201&amp;'Emission factors'!$K$3:$K$201&amp;'Emission factors'!$L$3:$L$201,0),MATCH(L$30,'Emission factors'!$K$2:$V$2,0)))*$G33)</f>
        <v/>
      </c>
      <c r="M33" s="215" t="str">
        <f t="array" ref="M33">IF(OR($C33="",$E33="",CommutingTable[[#This Row],[Converted data]]=""),"",(INDEX('Emission factors'!$K$3:$V$201,MATCH($B33&amp;$C33&amp;$D33,'Emission factors'!$J$3:$J$201&amp;'Emission factors'!$K$3:$K$201&amp;'Emission factors'!$L$3:$L$201,0),MATCH(M$30,'Emission factors'!$K$2:$V$2,0)))*$G33)</f>
        <v/>
      </c>
      <c r="N33" s="215" t="str">
        <f t="array" ref="N33">IF(OR($C33="",$E33="",CommutingTable[[#This Row],[Converted data]]=""),"",(INDEX('Emission factors'!$K$3:$V$201,MATCH($B33&amp;$C33&amp;$D33,'Emission factors'!$J$3:$J$201&amp;'Emission factors'!$K$3:$K$201&amp;'Emission factors'!$L$3:$L$201,0),MATCH(N$30,'Emission factors'!$K$2:$V$2,0)))*$G33)</f>
        <v/>
      </c>
      <c r="O33" s="215" t="str">
        <f t="array" ref="O33">IF(OR($C33="",$E33="",CommutingTable[[#This Row],[Converted data]]=""),"",(INDEX('Emission factors'!$K$3:$V$201,MATCH($B33&amp;$C33&amp;$D33,'Emission factors'!$J$3:$J$201&amp;'Emission factors'!$K$3:$K$201&amp;'Emission factors'!$L$3:$L$201,0),MATCH(O$30,'Emission factors'!$K$2:$V$2,0)))*$G33)</f>
        <v/>
      </c>
      <c r="P33" s="215" t="str">
        <f t="array" ref="P33">IF(OR($C33="",$E33="",CommutingTable[[#This Row],[Converted data]]=""),"",(INDEX('Emission factors'!$K$3:$V$201,MATCH($B33&amp;$C33&amp;$D33,'Emission factors'!$J$3:$J$201&amp;'Emission factors'!$K$3:$K$201&amp;'Emission factors'!$L$3:$L$201,0),MATCH(P$30,'Emission factors'!$K$2:$V$2,0)))*$G33)</f>
        <v/>
      </c>
    </row>
    <row r="34" spans="2:16" ht="15.75" thickBot="1" x14ac:dyDescent="0.3">
      <c r="B34" s="126"/>
      <c r="C34" s="123"/>
      <c r="D34" s="123"/>
      <c r="E34" s="120"/>
      <c r="F34" s="123"/>
      <c r="G34" s="30" t="str">
        <f t="array" ref="G34">IF(OR($B34="",$C34="",$D34="",F34=""),"",IF(F34=H34,E34,(INDEX('Emission factors'!$K$3:$V$276,MATCH($B34&amp;$C34&amp;$D34,'Emission factors'!$J$3:$J$276&amp;'Emission factors'!$K$3:$K$276&amp;'Emission factors'!$L$3:$L$276,0),MATCH('School Travel &amp; Staff Commute'!G$7,'Emission factors'!$K$2:$V$2,0)))*E34))</f>
        <v/>
      </c>
      <c r="H34" s="29" t="str">
        <f t="array" ref="H34">IF(OR($B34="",$C34="",$E34=""),"",INDEX('Emission factors'!$K$3:$V$276,MATCH($B34&amp;$C34&amp;$D34,'Emission factors'!$J$3:$J$276&amp;'Emission factors'!$K$3:$K$276&amp;'Emission factors'!$L$3:$L$276,0),MATCH('School Travel &amp; Staff Commute'!H$7,'Emission factors'!$K$2:$V$2,0)))</f>
        <v/>
      </c>
      <c r="I34" s="29" t="str">
        <f t="array" ref="I34">IF(OR(B34="",C34="",D34=""),"",INDEX('Emission factors'!$K$3:$V$276,MATCH($B34&amp;$C34&amp;$D34,'Emission factors'!$J$3:$J$276&amp;'Emission factors'!$K$3:$K$276&amp;'Emission factors'!$L$3:$L$276,0),MATCH('School Travel &amp; Staff Commute'!I$7,'Emission factors'!$K$2:$V$2,0)))</f>
        <v/>
      </c>
      <c r="J34" s="32" t="str">
        <f>IF(OR(G34="",I34=""),"",SUM(CommutingTable[[#This Row],[Direct]:[Indirect WTT]]))</f>
        <v/>
      </c>
      <c r="K34" s="122"/>
      <c r="L34" s="215" t="str">
        <f t="array" ref="L34">IF(OR($C34="",$E34="",CommutingTable[[#This Row],[Converted data]]=""),"",(INDEX('Emission factors'!$K$3:$V$201,MATCH($B34&amp;$C34&amp;$D34,'Emission factors'!$J$3:$J$201&amp;'Emission factors'!$K$3:$K$201&amp;'Emission factors'!$L$3:$L$201,0),MATCH(L$30,'Emission factors'!$K$2:$V$2,0)))*$G34)</f>
        <v/>
      </c>
      <c r="M34" s="215" t="str">
        <f t="array" ref="M34">IF(OR($C34="",$E34="",CommutingTable[[#This Row],[Converted data]]=""),"",(INDEX('Emission factors'!$K$3:$V$201,MATCH($B34&amp;$C34&amp;$D34,'Emission factors'!$J$3:$J$201&amp;'Emission factors'!$K$3:$K$201&amp;'Emission factors'!$L$3:$L$201,0),MATCH(M$30,'Emission factors'!$K$2:$V$2,0)))*$G34)</f>
        <v/>
      </c>
      <c r="N34" s="215" t="str">
        <f t="array" ref="N34">IF(OR($C34="",$E34="",CommutingTable[[#This Row],[Converted data]]=""),"",(INDEX('Emission factors'!$K$3:$V$201,MATCH($B34&amp;$C34&amp;$D34,'Emission factors'!$J$3:$J$201&amp;'Emission factors'!$K$3:$K$201&amp;'Emission factors'!$L$3:$L$201,0),MATCH(N$30,'Emission factors'!$K$2:$V$2,0)))*$G34)</f>
        <v/>
      </c>
      <c r="O34" s="215" t="str">
        <f t="array" ref="O34">IF(OR($C34="",$E34="",CommutingTable[[#This Row],[Converted data]]=""),"",(INDEX('Emission factors'!$K$3:$V$201,MATCH($B34&amp;$C34&amp;$D34,'Emission factors'!$J$3:$J$201&amp;'Emission factors'!$K$3:$K$201&amp;'Emission factors'!$L$3:$L$201,0),MATCH(O$30,'Emission factors'!$K$2:$V$2,0)))*$G34)</f>
        <v/>
      </c>
      <c r="P34" s="215" t="str">
        <f t="array" ref="P34">IF(OR($C34="",$E34="",CommutingTable[[#This Row],[Converted data]]=""),"",(INDEX('Emission factors'!$K$3:$V$201,MATCH($B34&amp;$C34&amp;$D34,'Emission factors'!$J$3:$J$201&amp;'Emission factors'!$K$3:$K$201&amp;'Emission factors'!$L$3:$L$201,0),MATCH(P$30,'Emission factors'!$K$2:$V$2,0)))*$G34)</f>
        <v/>
      </c>
    </row>
    <row r="35" spans="2:16" ht="15.75" thickBot="1" x14ac:dyDescent="0.3">
      <c r="B35" s="126"/>
      <c r="C35" s="123"/>
      <c r="D35" s="123"/>
      <c r="E35" s="120"/>
      <c r="F35" s="123"/>
      <c r="G35" s="30" t="str">
        <f t="array" ref="G35">IF(OR($B35="",$C35="",$D35="",F35=""),"",IF(F35=H35,E35,(INDEX('Emission factors'!$K$3:$V$276,MATCH($B35&amp;$C35&amp;$D35,'Emission factors'!$J$3:$J$276&amp;'Emission factors'!$K$3:$K$276&amp;'Emission factors'!$L$3:$L$276,0),MATCH('School Travel &amp; Staff Commute'!G$7,'Emission factors'!$K$2:$V$2,0)))*E35))</f>
        <v/>
      </c>
      <c r="H35" s="29" t="str">
        <f t="array" ref="H35">IF(OR($B35="",$C35="",$E35=""),"",INDEX('Emission factors'!$K$3:$V$276,MATCH($B35&amp;$C35&amp;$D35,'Emission factors'!$J$3:$J$276&amp;'Emission factors'!$K$3:$K$276&amp;'Emission factors'!$L$3:$L$276,0),MATCH('School Travel &amp; Staff Commute'!H$7,'Emission factors'!$K$2:$V$2,0)))</f>
        <v/>
      </c>
      <c r="I35" s="29" t="str">
        <f t="array" ref="I35">IF(OR(B35="",C35="",D35=""),"",INDEX('Emission factors'!$K$3:$V$276,MATCH($B35&amp;$C35&amp;$D35,'Emission factors'!$J$3:$J$276&amp;'Emission factors'!$K$3:$K$276&amp;'Emission factors'!$L$3:$L$276,0),MATCH('School Travel &amp; Staff Commute'!I$7,'Emission factors'!$K$2:$V$2,0)))</f>
        <v/>
      </c>
      <c r="J35" s="32" t="str">
        <f>IF(OR(G35="",I35=""),"",SUM(CommutingTable[[#This Row],[Direct]:[Indirect WTT]]))</f>
        <v/>
      </c>
      <c r="K35" s="122"/>
      <c r="L35" s="215" t="str">
        <f t="array" ref="L35">IF(OR($C35="",$E35="",CommutingTable[[#This Row],[Converted data]]=""),"",(INDEX('Emission factors'!$K$3:$V$201,MATCH($B35&amp;$C35&amp;$D35,'Emission factors'!$J$3:$J$201&amp;'Emission factors'!$K$3:$K$201&amp;'Emission factors'!$L$3:$L$201,0),MATCH(L$30,'Emission factors'!$K$2:$V$2,0)))*$G35)</f>
        <v/>
      </c>
      <c r="M35" s="215" t="str">
        <f t="array" ref="M35">IF(OR($C35="",$E35="",CommutingTable[[#This Row],[Converted data]]=""),"",(INDEX('Emission factors'!$K$3:$V$201,MATCH($B35&amp;$C35&amp;$D35,'Emission factors'!$J$3:$J$201&amp;'Emission factors'!$K$3:$K$201&amp;'Emission factors'!$L$3:$L$201,0),MATCH(M$30,'Emission factors'!$K$2:$V$2,0)))*$G35)</f>
        <v/>
      </c>
      <c r="N35" s="215" t="str">
        <f t="array" ref="N35">IF(OR($C35="",$E35="",CommutingTable[[#This Row],[Converted data]]=""),"",(INDEX('Emission factors'!$K$3:$V$201,MATCH($B35&amp;$C35&amp;$D35,'Emission factors'!$J$3:$J$201&amp;'Emission factors'!$K$3:$K$201&amp;'Emission factors'!$L$3:$L$201,0),MATCH(N$30,'Emission factors'!$K$2:$V$2,0)))*$G35)</f>
        <v/>
      </c>
      <c r="O35" s="215" t="str">
        <f t="array" ref="O35">IF(OR($C35="",$E35="",CommutingTable[[#This Row],[Converted data]]=""),"",(INDEX('Emission factors'!$K$3:$V$201,MATCH($B35&amp;$C35&amp;$D35,'Emission factors'!$J$3:$J$201&amp;'Emission factors'!$K$3:$K$201&amp;'Emission factors'!$L$3:$L$201,0),MATCH(O$30,'Emission factors'!$K$2:$V$2,0)))*$G35)</f>
        <v/>
      </c>
      <c r="P35" s="215" t="str">
        <f t="array" ref="P35">IF(OR($C35="",$E35="",CommutingTable[[#This Row],[Converted data]]=""),"",(INDEX('Emission factors'!$K$3:$V$201,MATCH($B35&amp;$C35&amp;$D35,'Emission factors'!$J$3:$J$201&amp;'Emission factors'!$K$3:$K$201&amp;'Emission factors'!$L$3:$L$201,0),MATCH(P$30,'Emission factors'!$K$2:$V$2,0)))*$G35)</f>
        <v/>
      </c>
    </row>
    <row r="36" spans="2:16" ht="15.75" thickBot="1" x14ac:dyDescent="0.3">
      <c r="B36" s="126"/>
      <c r="C36" s="123"/>
      <c r="D36" s="123"/>
      <c r="E36" s="120"/>
      <c r="F36" s="123"/>
      <c r="G36" s="30" t="str">
        <f t="array" ref="G36">IF(OR($B36="",$C36="",$D36="",F36=""),"",IF(F36=H36,E36,(INDEX('Emission factors'!$K$3:$V$276,MATCH($B36&amp;$C36&amp;$D36,'Emission factors'!$J$3:$J$276&amp;'Emission factors'!$K$3:$K$276&amp;'Emission factors'!$L$3:$L$276,0),MATCH('School Travel &amp; Staff Commute'!G$7,'Emission factors'!$K$2:$V$2,0)))*E36))</f>
        <v/>
      </c>
      <c r="H36" s="29" t="str">
        <f t="array" ref="H36">IF(OR($B36="",$C36="",$E36=""),"",INDEX('Emission factors'!$K$3:$V$276,MATCH($B36&amp;$C36&amp;$D36,'Emission factors'!$J$3:$J$276&amp;'Emission factors'!$K$3:$K$276&amp;'Emission factors'!$L$3:$L$276,0),MATCH('School Travel &amp; Staff Commute'!H$7,'Emission factors'!$K$2:$V$2,0)))</f>
        <v/>
      </c>
      <c r="I36" s="29" t="str">
        <f t="array" ref="I36">IF(OR(B36="",C36="",D36=""),"",INDEX('Emission factors'!$K$3:$V$276,MATCH($B36&amp;$C36&amp;$D36,'Emission factors'!$J$3:$J$276&amp;'Emission factors'!$K$3:$K$276&amp;'Emission factors'!$L$3:$L$276,0),MATCH('School Travel &amp; Staff Commute'!I$7,'Emission factors'!$K$2:$V$2,0)))</f>
        <v/>
      </c>
      <c r="J36" s="32" t="str">
        <f>IF(OR(G36="",I36=""),"",SUM(CommutingTable[[#This Row],[Direct]:[Indirect WTT]]))</f>
        <v/>
      </c>
      <c r="K36" s="122"/>
      <c r="L36" s="215" t="str">
        <f t="array" ref="L36">IF(OR($C36="",$E36="",CommutingTable[[#This Row],[Converted data]]=""),"",(INDEX('Emission factors'!$K$3:$V$201,MATCH($B36&amp;$C36&amp;$D36,'Emission factors'!$J$3:$J$201&amp;'Emission factors'!$K$3:$K$201&amp;'Emission factors'!$L$3:$L$201,0),MATCH(L$30,'Emission factors'!$K$2:$V$2,0)))*$G36)</f>
        <v/>
      </c>
      <c r="M36" s="215" t="str">
        <f t="array" ref="M36">IF(OR($C36="",$E36="",CommutingTable[[#This Row],[Converted data]]=""),"",(INDEX('Emission factors'!$K$3:$V$201,MATCH($B36&amp;$C36&amp;$D36,'Emission factors'!$J$3:$J$201&amp;'Emission factors'!$K$3:$K$201&amp;'Emission factors'!$L$3:$L$201,0),MATCH(M$30,'Emission factors'!$K$2:$V$2,0)))*$G36)</f>
        <v/>
      </c>
      <c r="N36" s="215" t="str">
        <f t="array" ref="N36">IF(OR($C36="",$E36="",CommutingTable[[#This Row],[Converted data]]=""),"",(INDEX('Emission factors'!$K$3:$V$201,MATCH($B36&amp;$C36&amp;$D36,'Emission factors'!$J$3:$J$201&amp;'Emission factors'!$K$3:$K$201&amp;'Emission factors'!$L$3:$L$201,0),MATCH(N$30,'Emission factors'!$K$2:$V$2,0)))*$G36)</f>
        <v/>
      </c>
      <c r="O36" s="215" t="str">
        <f t="array" ref="O36">IF(OR($C36="",$E36="",CommutingTable[[#This Row],[Converted data]]=""),"",(INDEX('Emission factors'!$K$3:$V$201,MATCH($B36&amp;$C36&amp;$D36,'Emission factors'!$J$3:$J$201&amp;'Emission factors'!$K$3:$K$201&amp;'Emission factors'!$L$3:$L$201,0),MATCH(O$30,'Emission factors'!$K$2:$V$2,0)))*$G36)</f>
        <v/>
      </c>
      <c r="P36" s="215" t="str">
        <f t="array" ref="P36">IF(OR($C36="",$E36="",CommutingTable[[#This Row],[Converted data]]=""),"",(INDEX('Emission factors'!$K$3:$V$201,MATCH($B36&amp;$C36&amp;$D36,'Emission factors'!$J$3:$J$201&amp;'Emission factors'!$K$3:$K$201&amp;'Emission factors'!$L$3:$L$201,0),MATCH(P$30,'Emission factors'!$K$2:$V$2,0)))*$G36)</f>
        <v/>
      </c>
    </row>
    <row r="37" spans="2:16" ht="15.75" thickBot="1" x14ac:dyDescent="0.3">
      <c r="B37" s="126"/>
      <c r="C37" s="123"/>
      <c r="D37" s="123"/>
      <c r="E37" s="120"/>
      <c r="F37" s="123"/>
      <c r="G37" s="30" t="str">
        <f t="array" ref="G37">IF(OR($B37="",$C37="",$D37="",F37=""),"",IF(F37=H37,E37,(INDEX('Emission factors'!$K$3:$V$276,MATCH($B37&amp;$C37&amp;$D37,'Emission factors'!$J$3:$J$276&amp;'Emission factors'!$K$3:$K$276&amp;'Emission factors'!$L$3:$L$276,0),MATCH('School Travel &amp; Staff Commute'!G$7,'Emission factors'!$K$2:$V$2,0)))*E37))</f>
        <v/>
      </c>
      <c r="H37" s="29" t="str">
        <f t="array" ref="H37">IF(OR($B37="",$C37="",$E37=""),"",INDEX('Emission factors'!$K$3:$V$276,MATCH($B37&amp;$C37&amp;$D37,'Emission factors'!$J$3:$J$276&amp;'Emission factors'!$K$3:$K$276&amp;'Emission factors'!$L$3:$L$276,0),MATCH('School Travel &amp; Staff Commute'!H$7,'Emission factors'!$K$2:$V$2,0)))</f>
        <v/>
      </c>
      <c r="I37" s="29" t="str">
        <f t="array" ref="I37">IF(OR(B37="",C37="",D37=""),"",INDEX('Emission factors'!$K$3:$V$276,MATCH($B37&amp;$C37&amp;$D37,'Emission factors'!$J$3:$J$276&amp;'Emission factors'!$K$3:$K$276&amp;'Emission factors'!$L$3:$L$276,0),MATCH('School Travel &amp; Staff Commute'!I$7,'Emission factors'!$K$2:$V$2,0)))</f>
        <v/>
      </c>
      <c r="J37" s="32" t="str">
        <f>IF(OR(G37="",I37=""),"",SUM(CommutingTable[[#This Row],[Direct]:[Indirect WTT]]))</f>
        <v/>
      </c>
      <c r="K37" s="122"/>
      <c r="L37" s="215" t="str">
        <f t="array" ref="L37">IF(OR($C37="",$E37="",CommutingTable[[#This Row],[Converted data]]=""),"",(INDEX('Emission factors'!$K$3:$V$201,MATCH($B37&amp;$C37&amp;$D37,'Emission factors'!$J$3:$J$201&amp;'Emission factors'!$K$3:$K$201&amp;'Emission factors'!$L$3:$L$201,0),MATCH(L$30,'Emission factors'!$K$2:$V$2,0)))*$G37)</f>
        <v/>
      </c>
      <c r="M37" s="215" t="str">
        <f t="array" ref="M37">IF(OR($C37="",$E37="",CommutingTable[[#This Row],[Converted data]]=""),"",(INDEX('Emission factors'!$K$3:$V$201,MATCH($B37&amp;$C37&amp;$D37,'Emission factors'!$J$3:$J$201&amp;'Emission factors'!$K$3:$K$201&amp;'Emission factors'!$L$3:$L$201,0),MATCH(M$30,'Emission factors'!$K$2:$V$2,0)))*$G37)</f>
        <v/>
      </c>
      <c r="N37" s="215" t="str">
        <f t="array" ref="N37">IF(OR($C37="",$E37="",CommutingTable[[#This Row],[Converted data]]=""),"",(INDEX('Emission factors'!$K$3:$V$201,MATCH($B37&amp;$C37&amp;$D37,'Emission factors'!$J$3:$J$201&amp;'Emission factors'!$K$3:$K$201&amp;'Emission factors'!$L$3:$L$201,0),MATCH(N$30,'Emission factors'!$K$2:$V$2,0)))*$G37)</f>
        <v/>
      </c>
      <c r="O37" s="215" t="str">
        <f t="array" ref="O37">IF(OR($C37="",$E37="",CommutingTable[[#This Row],[Converted data]]=""),"",(INDEX('Emission factors'!$K$3:$V$201,MATCH($B37&amp;$C37&amp;$D37,'Emission factors'!$J$3:$J$201&amp;'Emission factors'!$K$3:$K$201&amp;'Emission factors'!$L$3:$L$201,0),MATCH(O$30,'Emission factors'!$K$2:$V$2,0)))*$G37)</f>
        <v/>
      </c>
      <c r="P37" s="215" t="str">
        <f t="array" ref="P37">IF(OR($C37="",$E37="",CommutingTable[[#This Row],[Converted data]]=""),"",(INDEX('Emission factors'!$K$3:$V$201,MATCH($B37&amp;$C37&amp;$D37,'Emission factors'!$J$3:$J$201&amp;'Emission factors'!$K$3:$K$201&amp;'Emission factors'!$L$3:$L$201,0),MATCH(P$30,'Emission factors'!$K$2:$V$2,0)))*$G37)</f>
        <v/>
      </c>
    </row>
    <row r="38" spans="2:16" ht="15.75" thickBot="1" x14ac:dyDescent="0.3">
      <c r="B38" s="126"/>
      <c r="C38" s="123"/>
      <c r="D38" s="123"/>
      <c r="E38" s="120"/>
      <c r="F38" s="123"/>
      <c r="G38" s="30" t="str">
        <f t="array" ref="G38">IF(OR($B38="",$C38="",$D38="",F38=""),"",IF(F38=H38,E38,(INDEX('Emission factors'!$K$3:$V$276,MATCH($B38&amp;$C38&amp;$D38,'Emission factors'!$J$3:$J$276&amp;'Emission factors'!$K$3:$K$276&amp;'Emission factors'!$L$3:$L$276,0),MATCH('School Travel &amp; Staff Commute'!G$7,'Emission factors'!$K$2:$V$2,0)))*E38))</f>
        <v/>
      </c>
      <c r="H38" s="29" t="str">
        <f t="array" ref="H38">IF(OR($B38="",$C38="",$E38=""),"",INDEX('Emission factors'!$K$3:$V$276,MATCH($B38&amp;$C38&amp;$D38,'Emission factors'!$J$3:$J$276&amp;'Emission factors'!$K$3:$K$276&amp;'Emission factors'!$L$3:$L$276,0),MATCH('School Travel &amp; Staff Commute'!H$7,'Emission factors'!$K$2:$V$2,0)))</f>
        <v/>
      </c>
      <c r="I38" s="29" t="str">
        <f t="array" ref="I38">IF(OR(B38="",C38="",D38=""),"",INDEX('Emission factors'!$K$3:$V$276,MATCH($B38&amp;$C38&amp;$D38,'Emission factors'!$J$3:$J$276&amp;'Emission factors'!$K$3:$K$276&amp;'Emission factors'!$L$3:$L$276,0),MATCH('School Travel &amp; Staff Commute'!I$7,'Emission factors'!$K$2:$V$2,0)))</f>
        <v/>
      </c>
      <c r="J38" s="32" t="str">
        <f>IF(OR(G38="",I38=""),"",SUM(CommutingTable[[#This Row],[Direct]:[Indirect WTT]]))</f>
        <v/>
      </c>
      <c r="K38" s="122"/>
      <c r="L38" s="215" t="str">
        <f t="array" ref="L38">IF(OR($C38="",$E38="",CommutingTable[[#This Row],[Converted data]]=""),"",(INDEX('Emission factors'!$K$3:$V$201,MATCH($B38&amp;$C38&amp;$D38,'Emission factors'!$J$3:$J$201&amp;'Emission factors'!$K$3:$K$201&amp;'Emission factors'!$L$3:$L$201,0),MATCH(L$30,'Emission factors'!$K$2:$V$2,0)))*$G38)</f>
        <v/>
      </c>
      <c r="M38" s="215" t="str">
        <f t="array" ref="M38">IF(OR($C38="",$E38="",CommutingTable[[#This Row],[Converted data]]=""),"",(INDEX('Emission factors'!$K$3:$V$201,MATCH($B38&amp;$C38&amp;$D38,'Emission factors'!$J$3:$J$201&amp;'Emission factors'!$K$3:$K$201&amp;'Emission factors'!$L$3:$L$201,0),MATCH(M$30,'Emission factors'!$K$2:$V$2,0)))*$G38)</f>
        <v/>
      </c>
      <c r="N38" s="215" t="str">
        <f t="array" ref="N38">IF(OR($C38="",$E38="",CommutingTable[[#This Row],[Converted data]]=""),"",(INDEX('Emission factors'!$K$3:$V$201,MATCH($B38&amp;$C38&amp;$D38,'Emission factors'!$J$3:$J$201&amp;'Emission factors'!$K$3:$K$201&amp;'Emission factors'!$L$3:$L$201,0),MATCH(N$30,'Emission factors'!$K$2:$V$2,0)))*$G38)</f>
        <v/>
      </c>
      <c r="O38" s="215" t="str">
        <f t="array" ref="O38">IF(OR($C38="",$E38="",CommutingTable[[#This Row],[Converted data]]=""),"",(INDEX('Emission factors'!$K$3:$V$201,MATCH($B38&amp;$C38&amp;$D38,'Emission factors'!$J$3:$J$201&amp;'Emission factors'!$K$3:$K$201&amp;'Emission factors'!$L$3:$L$201,0),MATCH(O$30,'Emission factors'!$K$2:$V$2,0)))*$G38)</f>
        <v/>
      </c>
      <c r="P38" s="215" t="str">
        <f t="array" ref="P38">IF(OR($C38="",$E38="",CommutingTable[[#This Row],[Converted data]]=""),"",(INDEX('Emission factors'!$K$3:$V$201,MATCH($B38&amp;$C38&amp;$D38,'Emission factors'!$J$3:$J$201&amp;'Emission factors'!$K$3:$K$201&amp;'Emission factors'!$L$3:$L$201,0),MATCH(P$30,'Emission factors'!$K$2:$V$2,0)))*$G38)</f>
        <v/>
      </c>
    </row>
    <row r="39" spans="2:16" ht="15.75" thickBot="1" x14ac:dyDescent="0.3">
      <c r="B39" s="126"/>
      <c r="C39" s="123"/>
      <c r="D39" s="123"/>
      <c r="E39" s="120"/>
      <c r="F39" s="123"/>
      <c r="G39" s="30" t="str">
        <f t="array" ref="G39">IF(OR($B39="",$C39="",$D39="",F39=""),"",IF(F39=H39,E39,(INDEX('Emission factors'!$K$3:$V$276,MATCH($B39&amp;$C39&amp;$D39,'Emission factors'!$J$3:$J$276&amp;'Emission factors'!$K$3:$K$276&amp;'Emission factors'!$L$3:$L$276,0),MATCH('School Travel &amp; Staff Commute'!G$7,'Emission factors'!$K$2:$V$2,0)))*E39))</f>
        <v/>
      </c>
      <c r="H39" s="29" t="str">
        <f t="array" ref="H39">IF(OR($B39="",$C39="",$E39=""),"",INDEX('Emission factors'!$K$3:$V$276,MATCH($B39&amp;$C39&amp;$D39,'Emission factors'!$J$3:$J$276&amp;'Emission factors'!$K$3:$K$276&amp;'Emission factors'!$L$3:$L$276,0),MATCH('School Travel &amp; Staff Commute'!H$7,'Emission factors'!$K$2:$V$2,0)))</f>
        <v/>
      </c>
      <c r="I39" s="29" t="str">
        <f t="array" ref="I39">IF(OR(B39="",C39="",D39=""),"",INDEX('Emission factors'!$K$3:$V$276,MATCH($B39&amp;$C39&amp;$D39,'Emission factors'!$J$3:$J$276&amp;'Emission factors'!$K$3:$K$276&amp;'Emission factors'!$L$3:$L$276,0),MATCH('School Travel &amp; Staff Commute'!I$7,'Emission factors'!$K$2:$V$2,0)))</f>
        <v/>
      </c>
      <c r="J39" s="32" t="str">
        <f>IF(OR(G39="",I39=""),"",SUM(CommutingTable[[#This Row],[Direct]:[Indirect WTT]]))</f>
        <v/>
      </c>
      <c r="K39" s="122"/>
      <c r="L39" s="215" t="str">
        <f t="array" ref="L39">IF(OR($C39="",$E39="",CommutingTable[[#This Row],[Converted data]]=""),"",(INDEX('Emission factors'!$K$3:$V$201,MATCH($B39&amp;$C39&amp;$D39,'Emission factors'!$J$3:$J$201&amp;'Emission factors'!$K$3:$K$201&amp;'Emission factors'!$L$3:$L$201,0),MATCH(L$30,'Emission factors'!$K$2:$V$2,0)))*$G39)</f>
        <v/>
      </c>
      <c r="M39" s="215" t="str">
        <f t="array" ref="M39">IF(OR($C39="",$E39="",CommutingTable[[#This Row],[Converted data]]=""),"",(INDEX('Emission factors'!$K$3:$V$201,MATCH($B39&amp;$C39&amp;$D39,'Emission factors'!$J$3:$J$201&amp;'Emission factors'!$K$3:$K$201&amp;'Emission factors'!$L$3:$L$201,0),MATCH(M$30,'Emission factors'!$K$2:$V$2,0)))*$G39)</f>
        <v/>
      </c>
      <c r="N39" s="215" t="str">
        <f t="array" ref="N39">IF(OR($C39="",$E39="",CommutingTable[[#This Row],[Converted data]]=""),"",(INDEX('Emission factors'!$K$3:$V$201,MATCH($B39&amp;$C39&amp;$D39,'Emission factors'!$J$3:$J$201&amp;'Emission factors'!$K$3:$K$201&amp;'Emission factors'!$L$3:$L$201,0),MATCH(N$30,'Emission factors'!$K$2:$V$2,0)))*$G39)</f>
        <v/>
      </c>
      <c r="O39" s="215" t="str">
        <f t="array" ref="O39">IF(OR($C39="",$E39="",CommutingTable[[#This Row],[Converted data]]=""),"",(INDEX('Emission factors'!$K$3:$V$201,MATCH($B39&amp;$C39&amp;$D39,'Emission factors'!$J$3:$J$201&amp;'Emission factors'!$K$3:$K$201&amp;'Emission factors'!$L$3:$L$201,0),MATCH(O$30,'Emission factors'!$K$2:$V$2,0)))*$G39)</f>
        <v/>
      </c>
      <c r="P39" s="215" t="str">
        <f t="array" ref="P39">IF(OR($C39="",$E39="",CommutingTable[[#This Row],[Converted data]]=""),"",(INDEX('Emission factors'!$K$3:$V$201,MATCH($B39&amp;$C39&amp;$D39,'Emission factors'!$J$3:$J$201&amp;'Emission factors'!$K$3:$K$201&amp;'Emission factors'!$L$3:$L$201,0),MATCH(P$30,'Emission factors'!$K$2:$V$2,0)))*$G39)</f>
        <v/>
      </c>
    </row>
    <row r="40" spans="2:16" ht="15.75" thickBot="1" x14ac:dyDescent="0.3">
      <c r="B40" s="126"/>
      <c r="C40" s="123"/>
      <c r="D40" s="123"/>
      <c r="E40" s="120"/>
      <c r="F40" s="123"/>
      <c r="G40" s="30" t="str">
        <f t="array" ref="G40">IF(OR($B40="",$C40="",$D40="",F40=""),"",IF(F40=H40,E40,(INDEX('Emission factors'!$K$3:$V$276,MATCH($B40&amp;$C40&amp;$D40,'Emission factors'!$J$3:$J$276&amp;'Emission factors'!$K$3:$K$276&amp;'Emission factors'!$L$3:$L$276,0),MATCH('School Travel &amp; Staff Commute'!G$7,'Emission factors'!$K$2:$V$2,0)))*E40))</f>
        <v/>
      </c>
      <c r="H40" s="29" t="str">
        <f t="array" ref="H40">IF(OR($B40="",$C40="",$E40=""),"",INDEX('Emission factors'!$K$3:$V$276,MATCH($B40&amp;$C40&amp;$D40,'Emission factors'!$J$3:$J$276&amp;'Emission factors'!$K$3:$K$276&amp;'Emission factors'!$L$3:$L$276,0),MATCH('School Travel &amp; Staff Commute'!H$7,'Emission factors'!$K$2:$V$2,0)))</f>
        <v/>
      </c>
      <c r="I40" s="29" t="str">
        <f t="array" ref="I40">IF(OR(B40="",C40="",D40=""),"",INDEX('Emission factors'!$K$3:$V$276,MATCH($B40&amp;$C40&amp;$D40,'Emission factors'!$J$3:$J$276&amp;'Emission factors'!$K$3:$K$276&amp;'Emission factors'!$L$3:$L$276,0),MATCH('School Travel &amp; Staff Commute'!I$7,'Emission factors'!$K$2:$V$2,0)))</f>
        <v/>
      </c>
      <c r="J40" s="32" t="str">
        <f>IF(OR(G40="",I40=""),"",SUM(CommutingTable[[#This Row],[Direct]:[Indirect WTT]]))</f>
        <v/>
      </c>
      <c r="K40" s="122"/>
      <c r="L40" s="215" t="str">
        <f t="array" ref="L40">IF(OR($C40="",$E40="",CommutingTable[[#This Row],[Converted data]]=""),"",(INDEX('Emission factors'!$K$3:$V$201,MATCH($B40&amp;$C40&amp;$D40,'Emission factors'!$J$3:$J$201&amp;'Emission factors'!$K$3:$K$201&amp;'Emission factors'!$L$3:$L$201,0),MATCH(L$30,'Emission factors'!$K$2:$V$2,0)))*$G40)</f>
        <v/>
      </c>
      <c r="M40" s="215" t="str">
        <f t="array" ref="M40">IF(OR($C40="",$E40="",CommutingTable[[#This Row],[Converted data]]=""),"",(INDEX('Emission factors'!$K$3:$V$201,MATCH($B40&amp;$C40&amp;$D40,'Emission factors'!$J$3:$J$201&amp;'Emission factors'!$K$3:$K$201&amp;'Emission factors'!$L$3:$L$201,0),MATCH(M$30,'Emission factors'!$K$2:$V$2,0)))*$G40)</f>
        <v/>
      </c>
      <c r="N40" s="215" t="str">
        <f t="array" ref="N40">IF(OR($C40="",$E40="",CommutingTable[[#This Row],[Converted data]]=""),"",(INDEX('Emission factors'!$K$3:$V$201,MATCH($B40&amp;$C40&amp;$D40,'Emission factors'!$J$3:$J$201&amp;'Emission factors'!$K$3:$K$201&amp;'Emission factors'!$L$3:$L$201,0),MATCH(N$30,'Emission factors'!$K$2:$V$2,0)))*$G40)</f>
        <v/>
      </c>
      <c r="O40" s="215" t="str">
        <f t="array" ref="O40">IF(OR($C40="",$E40="",CommutingTable[[#This Row],[Converted data]]=""),"",(INDEX('Emission factors'!$K$3:$V$201,MATCH($B40&amp;$C40&amp;$D40,'Emission factors'!$J$3:$J$201&amp;'Emission factors'!$K$3:$K$201&amp;'Emission factors'!$L$3:$L$201,0),MATCH(O$30,'Emission factors'!$K$2:$V$2,0)))*$G40)</f>
        <v/>
      </c>
      <c r="P40" s="215" t="str">
        <f t="array" ref="P40">IF(OR($C40="",$E40="",CommutingTable[[#This Row],[Converted data]]=""),"",(INDEX('Emission factors'!$K$3:$V$201,MATCH($B40&amp;$C40&amp;$D40,'Emission factors'!$J$3:$J$201&amp;'Emission factors'!$K$3:$K$201&amp;'Emission factors'!$L$3:$L$201,0),MATCH(P$30,'Emission factors'!$K$2:$V$2,0)))*$G40)</f>
        <v/>
      </c>
    </row>
    <row r="41" spans="2:16" ht="15.75" thickBot="1" x14ac:dyDescent="0.3">
      <c r="B41" s="126"/>
      <c r="C41" s="123"/>
      <c r="D41" s="123"/>
      <c r="E41" s="120"/>
      <c r="F41" s="123"/>
      <c r="G41" s="30" t="str">
        <f t="array" ref="G41">IF(OR($B41="",$C41="",$D41="",F41=""),"",IF(F41=H41,E41,(INDEX('Emission factors'!$K$3:$V$276,MATCH($B41&amp;$C41&amp;$D41,'Emission factors'!$J$3:$J$276&amp;'Emission factors'!$K$3:$K$276&amp;'Emission factors'!$L$3:$L$276,0),MATCH('School Travel &amp; Staff Commute'!G$7,'Emission factors'!$K$2:$V$2,0)))*E41))</f>
        <v/>
      </c>
      <c r="H41" s="29" t="str">
        <f t="array" ref="H41">IF(OR($B41="",$C41="",$E41=""),"",INDEX('Emission factors'!$K$3:$V$276,MATCH($B41&amp;$C41&amp;$D41,'Emission factors'!$J$3:$J$276&amp;'Emission factors'!$K$3:$K$276&amp;'Emission factors'!$L$3:$L$276,0),MATCH('School Travel &amp; Staff Commute'!H$7,'Emission factors'!$K$2:$V$2,0)))</f>
        <v/>
      </c>
      <c r="I41" s="29" t="str">
        <f t="array" ref="I41">IF(OR(B41="",C41="",D41=""),"",INDEX('Emission factors'!$K$3:$V$276,MATCH($B41&amp;$C41&amp;$D41,'Emission factors'!$J$3:$J$276&amp;'Emission factors'!$K$3:$K$276&amp;'Emission factors'!$L$3:$L$276,0),MATCH('School Travel &amp; Staff Commute'!I$7,'Emission factors'!$K$2:$V$2,0)))</f>
        <v/>
      </c>
      <c r="J41" s="32" t="str">
        <f>IF(OR(G41="",I41=""),"",SUM(CommutingTable[[#This Row],[Direct]:[Indirect WTT]]))</f>
        <v/>
      </c>
      <c r="K41" s="122"/>
      <c r="L41" s="215" t="str">
        <f t="array" ref="L41">IF(OR($C41="",$E41="",CommutingTable[[#This Row],[Converted data]]=""),"",(INDEX('Emission factors'!$K$3:$V$201,MATCH($B41&amp;$C41&amp;$D41,'Emission factors'!$J$3:$J$201&amp;'Emission factors'!$K$3:$K$201&amp;'Emission factors'!$L$3:$L$201,0),MATCH(L$30,'Emission factors'!$K$2:$V$2,0)))*$G41)</f>
        <v/>
      </c>
      <c r="M41" s="215" t="str">
        <f t="array" ref="M41">IF(OR($C41="",$E41="",CommutingTable[[#This Row],[Converted data]]=""),"",(INDEX('Emission factors'!$K$3:$V$201,MATCH($B41&amp;$C41&amp;$D41,'Emission factors'!$J$3:$J$201&amp;'Emission factors'!$K$3:$K$201&amp;'Emission factors'!$L$3:$L$201,0),MATCH(M$30,'Emission factors'!$K$2:$V$2,0)))*$G41)</f>
        <v/>
      </c>
      <c r="N41" s="215" t="str">
        <f t="array" ref="N41">IF(OR($C41="",$E41="",CommutingTable[[#This Row],[Converted data]]=""),"",(INDEX('Emission factors'!$K$3:$V$201,MATCH($B41&amp;$C41&amp;$D41,'Emission factors'!$J$3:$J$201&amp;'Emission factors'!$K$3:$K$201&amp;'Emission factors'!$L$3:$L$201,0),MATCH(N$30,'Emission factors'!$K$2:$V$2,0)))*$G41)</f>
        <v/>
      </c>
      <c r="O41" s="215" t="str">
        <f t="array" ref="O41">IF(OR($C41="",$E41="",CommutingTable[[#This Row],[Converted data]]=""),"",(INDEX('Emission factors'!$K$3:$V$201,MATCH($B41&amp;$C41&amp;$D41,'Emission factors'!$J$3:$J$201&amp;'Emission factors'!$K$3:$K$201&amp;'Emission factors'!$L$3:$L$201,0),MATCH(O$30,'Emission factors'!$K$2:$V$2,0)))*$G41)</f>
        <v/>
      </c>
      <c r="P41" s="215" t="str">
        <f t="array" ref="P41">IF(OR($C41="",$E41="",CommutingTable[[#This Row],[Converted data]]=""),"",(INDEX('Emission factors'!$K$3:$V$201,MATCH($B41&amp;$C41&amp;$D41,'Emission factors'!$J$3:$J$201&amp;'Emission factors'!$K$3:$K$201&amp;'Emission factors'!$L$3:$L$201,0),MATCH(P$30,'Emission factors'!$K$2:$V$2,0)))*$G41)</f>
        <v/>
      </c>
    </row>
    <row r="42" spans="2:16" ht="15.75" thickBot="1" x14ac:dyDescent="0.3">
      <c r="B42" s="126"/>
      <c r="C42" s="123"/>
      <c r="D42" s="123"/>
      <c r="E42" s="120"/>
      <c r="F42" s="123"/>
      <c r="G42" s="30" t="str">
        <f t="array" ref="G42">IF(OR($B42="",$C42="",$D42="",F42=""),"",IF(F42=H42,E42,(INDEX('Emission factors'!$K$3:$V$276,MATCH($B42&amp;$C42&amp;$D42,'Emission factors'!$J$3:$J$276&amp;'Emission factors'!$K$3:$K$276&amp;'Emission factors'!$L$3:$L$276,0),MATCH('School Travel &amp; Staff Commute'!G$7,'Emission factors'!$K$2:$V$2,0)))*E42))</f>
        <v/>
      </c>
      <c r="H42" s="29" t="str">
        <f t="array" ref="H42">IF(OR($B42="",$C42="",$E42=""),"",INDEX('Emission factors'!$K$3:$V$276,MATCH($B42&amp;$C42&amp;$D42,'Emission factors'!$J$3:$J$276&amp;'Emission factors'!$K$3:$K$276&amp;'Emission factors'!$L$3:$L$276,0),MATCH('School Travel &amp; Staff Commute'!H$7,'Emission factors'!$K$2:$V$2,0)))</f>
        <v/>
      </c>
      <c r="I42" s="29" t="str">
        <f t="array" ref="I42">IF(OR(B42="",C42="",D42=""),"",INDEX('Emission factors'!$K$3:$V$276,MATCH($B42&amp;$C42&amp;$D42,'Emission factors'!$J$3:$J$276&amp;'Emission factors'!$K$3:$K$276&amp;'Emission factors'!$L$3:$L$276,0),MATCH('School Travel &amp; Staff Commute'!I$7,'Emission factors'!$K$2:$V$2,0)))</f>
        <v/>
      </c>
      <c r="J42" s="32" t="str">
        <f>IF(OR(G42="",I42=""),"",SUM(CommutingTable[[#This Row],[Direct]:[Indirect WTT]]))</f>
        <v/>
      </c>
      <c r="K42" s="122"/>
      <c r="L42" s="215" t="str">
        <f t="array" ref="L42">IF(OR($C42="",$E42="",CommutingTable[[#This Row],[Converted data]]=""),"",(INDEX('Emission factors'!$K$3:$V$201,MATCH($B42&amp;$C42&amp;$D42,'Emission factors'!$J$3:$J$201&amp;'Emission factors'!$K$3:$K$201&amp;'Emission factors'!$L$3:$L$201,0),MATCH(L$30,'Emission factors'!$K$2:$V$2,0)))*$G42)</f>
        <v/>
      </c>
      <c r="M42" s="215" t="str">
        <f t="array" ref="M42">IF(OR($C42="",$E42="",CommutingTable[[#This Row],[Converted data]]=""),"",(INDEX('Emission factors'!$K$3:$V$201,MATCH($B42&amp;$C42&amp;$D42,'Emission factors'!$J$3:$J$201&amp;'Emission factors'!$K$3:$K$201&amp;'Emission factors'!$L$3:$L$201,0),MATCH(M$30,'Emission factors'!$K$2:$V$2,0)))*$G42)</f>
        <v/>
      </c>
      <c r="N42" s="215" t="str">
        <f t="array" ref="N42">IF(OR($C42="",$E42="",CommutingTable[[#This Row],[Converted data]]=""),"",(INDEX('Emission factors'!$K$3:$V$201,MATCH($B42&amp;$C42&amp;$D42,'Emission factors'!$J$3:$J$201&amp;'Emission factors'!$K$3:$K$201&amp;'Emission factors'!$L$3:$L$201,0),MATCH(N$30,'Emission factors'!$K$2:$V$2,0)))*$G42)</f>
        <v/>
      </c>
      <c r="O42" s="215" t="str">
        <f t="array" ref="O42">IF(OR($C42="",$E42="",CommutingTable[[#This Row],[Converted data]]=""),"",(INDEX('Emission factors'!$K$3:$V$201,MATCH($B42&amp;$C42&amp;$D42,'Emission factors'!$J$3:$J$201&amp;'Emission factors'!$K$3:$K$201&amp;'Emission factors'!$L$3:$L$201,0),MATCH(O$30,'Emission factors'!$K$2:$V$2,0)))*$G42)</f>
        <v/>
      </c>
      <c r="P42" s="215" t="str">
        <f t="array" ref="P42">IF(OR($C42="",$E42="",CommutingTable[[#This Row],[Converted data]]=""),"",(INDEX('Emission factors'!$K$3:$V$201,MATCH($B42&amp;$C42&amp;$D42,'Emission factors'!$J$3:$J$201&amp;'Emission factors'!$K$3:$K$201&amp;'Emission factors'!$L$3:$L$201,0),MATCH(P$30,'Emission factors'!$K$2:$V$2,0)))*$G42)</f>
        <v/>
      </c>
    </row>
    <row r="43" spans="2:16" ht="15.75" thickBot="1" x14ac:dyDescent="0.3">
      <c r="B43" s="126"/>
      <c r="C43" s="123"/>
      <c r="D43" s="123"/>
      <c r="E43" s="120"/>
      <c r="F43" s="123"/>
      <c r="G43" s="30" t="str">
        <f t="array" ref="G43">IF(OR($B43="",$C43="",$D43="",F43=""),"",IF(F43=H43,E43,(INDEX('Emission factors'!$K$3:$V$276,MATCH($B43&amp;$C43&amp;$D43,'Emission factors'!$J$3:$J$276&amp;'Emission factors'!$K$3:$K$276&amp;'Emission factors'!$L$3:$L$276,0),MATCH('School Travel &amp; Staff Commute'!G$7,'Emission factors'!$K$2:$V$2,0)))*E43))</f>
        <v/>
      </c>
      <c r="H43" s="29" t="str">
        <f t="array" ref="H43">IF(OR($B43="",$C43="",$E43=""),"",INDEX('Emission factors'!$K$3:$V$276,MATCH($B43&amp;$C43&amp;$D43,'Emission factors'!$J$3:$J$276&amp;'Emission factors'!$K$3:$K$276&amp;'Emission factors'!$L$3:$L$276,0),MATCH('School Travel &amp; Staff Commute'!H$7,'Emission factors'!$K$2:$V$2,0)))</f>
        <v/>
      </c>
      <c r="I43" s="29" t="str">
        <f t="array" ref="I43">IF(OR(B43="",C43="",D43=""),"",INDEX('Emission factors'!$K$3:$V$276,MATCH($B43&amp;$C43&amp;$D43,'Emission factors'!$J$3:$J$276&amp;'Emission factors'!$K$3:$K$276&amp;'Emission factors'!$L$3:$L$276,0),MATCH('School Travel &amp; Staff Commute'!I$7,'Emission factors'!$K$2:$V$2,0)))</f>
        <v/>
      </c>
      <c r="J43" s="32" t="str">
        <f>IF(OR(G43="",I43=""),"",SUM(CommutingTable[[#This Row],[Direct]:[Indirect WTT]]))</f>
        <v/>
      </c>
      <c r="K43" s="122"/>
      <c r="L43" s="215" t="str">
        <f t="array" ref="L43">IF(OR($C43="",$E43="",CommutingTable[[#This Row],[Converted data]]=""),"",(INDEX('Emission factors'!$K$3:$V$201,MATCH($B43&amp;$C43&amp;$D43,'Emission factors'!$J$3:$J$201&amp;'Emission factors'!$K$3:$K$201&amp;'Emission factors'!$L$3:$L$201,0),MATCH(L$30,'Emission factors'!$K$2:$V$2,0)))*$G43)</f>
        <v/>
      </c>
      <c r="M43" s="215" t="str">
        <f t="array" ref="M43">IF(OR($C43="",$E43="",CommutingTable[[#This Row],[Converted data]]=""),"",(INDEX('Emission factors'!$K$3:$V$201,MATCH($B43&amp;$C43&amp;$D43,'Emission factors'!$J$3:$J$201&amp;'Emission factors'!$K$3:$K$201&amp;'Emission factors'!$L$3:$L$201,0),MATCH(M$30,'Emission factors'!$K$2:$V$2,0)))*$G43)</f>
        <v/>
      </c>
      <c r="N43" s="215" t="str">
        <f t="array" ref="N43">IF(OR($C43="",$E43="",CommutingTable[[#This Row],[Converted data]]=""),"",(INDEX('Emission factors'!$K$3:$V$201,MATCH($B43&amp;$C43&amp;$D43,'Emission factors'!$J$3:$J$201&amp;'Emission factors'!$K$3:$K$201&amp;'Emission factors'!$L$3:$L$201,0),MATCH(N$30,'Emission factors'!$K$2:$V$2,0)))*$G43)</f>
        <v/>
      </c>
      <c r="O43" s="215" t="str">
        <f t="array" ref="O43">IF(OR($C43="",$E43="",CommutingTable[[#This Row],[Converted data]]=""),"",(INDEX('Emission factors'!$K$3:$V$201,MATCH($B43&amp;$C43&amp;$D43,'Emission factors'!$J$3:$J$201&amp;'Emission factors'!$K$3:$K$201&amp;'Emission factors'!$L$3:$L$201,0),MATCH(O$30,'Emission factors'!$K$2:$V$2,0)))*$G43)</f>
        <v/>
      </c>
      <c r="P43" s="215" t="str">
        <f t="array" ref="P43">IF(OR($C43="",$E43="",CommutingTable[[#This Row],[Converted data]]=""),"",(INDEX('Emission factors'!$K$3:$V$201,MATCH($B43&amp;$C43&amp;$D43,'Emission factors'!$J$3:$J$201&amp;'Emission factors'!$K$3:$K$201&amp;'Emission factors'!$L$3:$L$201,0),MATCH(P$30,'Emission factors'!$K$2:$V$2,0)))*$G43)</f>
        <v/>
      </c>
    </row>
    <row r="44" spans="2:16" ht="15.75" thickBot="1" x14ac:dyDescent="0.3">
      <c r="B44" s="126"/>
      <c r="C44" s="123"/>
      <c r="D44" s="123"/>
      <c r="E44" s="120"/>
      <c r="F44" s="123"/>
      <c r="G44" s="30" t="str">
        <f t="array" ref="G44">IF(OR($B44="",$C44="",$D44="",F44=""),"",IF(F44=H44,E44,(INDEX('Emission factors'!$K$3:$V$276,MATCH($B44&amp;$C44&amp;$D44,'Emission factors'!$J$3:$J$276&amp;'Emission factors'!$K$3:$K$276&amp;'Emission factors'!$L$3:$L$276,0),MATCH('School Travel &amp; Staff Commute'!G$7,'Emission factors'!$K$2:$V$2,0)))*E44))</f>
        <v/>
      </c>
      <c r="H44" s="29" t="str">
        <f t="array" ref="H44">IF(OR($B44="",$C44="",$E44=""),"",INDEX('Emission factors'!$K$3:$V$276,MATCH($B44&amp;$C44&amp;$D44,'Emission factors'!$J$3:$J$276&amp;'Emission factors'!$K$3:$K$276&amp;'Emission factors'!$L$3:$L$276,0),MATCH('School Travel &amp; Staff Commute'!H$7,'Emission factors'!$K$2:$V$2,0)))</f>
        <v/>
      </c>
      <c r="I44" s="29" t="str">
        <f t="array" ref="I44">IF(OR(B44="",C44="",D44=""),"",INDEX('Emission factors'!$K$3:$V$276,MATCH($B44&amp;$C44&amp;$D44,'Emission factors'!$J$3:$J$276&amp;'Emission factors'!$K$3:$K$276&amp;'Emission factors'!$L$3:$L$276,0),MATCH('School Travel &amp; Staff Commute'!I$7,'Emission factors'!$K$2:$V$2,0)))</f>
        <v/>
      </c>
      <c r="J44" s="32" t="str">
        <f>IF(OR(G44="",I44=""),"",SUM(CommutingTable[[#This Row],[Direct]:[Indirect WTT]]))</f>
        <v/>
      </c>
      <c r="K44" s="122"/>
      <c r="L44" s="215" t="str">
        <f t="array" ref="L44">IF(OR($C44="",$E44="",CommutingTable[[#This Row],[Converted data]]=""),"",(INDEX('Emission factors'!$K$3:$V$201,MATCH($B44&amp;$C44&amp;$D44,'Emission factors'!$J$3:$J$201&amp;'Emission factors'!$K$3:$K$201&amp;'Emission factors'!$L$3:$L$201,0),MATCH(L$30,'Emission factors'!$K$2:$V$2,0)))*$G44)</f>
        <v/>
      </c>
      <c r="M44" s="215" t="str">
        <f t="array" ref="M44">IF(OR($C44="",$E44="",CommutingTable[[#This Row],[Converted data]]=""),"",(INDEX('Emission factors'!$K$3:$V$201,MATCH($B44&amp;$C44&amp;$D44,'Emission factors'!$J$3:$J$201&amp;'Emission factors'!$K$3:$K$201&amp;'Emission factors'!$L$3:$L$201,0),MATCH(M$30,'Emission factors'!$K$2:$V$2,0)))*$G44)</f>
        <v/>
      </c>
      <c r="N44" s="215" t="str">
        <f t="array" ref="N44">IF(OR($C44="",$E44="",CommutingTable[[#This Row],[Converted data]]=""),"",(INDEX('Emission factors'!$K$3:$V$201,MATCH($B44&amp;$C44&amp;$D44,'Emission factors'!$J$3:$J$201&amp;'Emission factors'!$K$3:$K$201&amp;'Emission factors'!$L$3:$L$201,0),MATCH(N$30,'Emission factors'!$K$2:$V$2,0)))*$G44)</f>
        <v/>
      </c>
      <c r="O44" s="215" t="str">
        <f t="array" ref="O44">IF(OR($C44="",$E44="",CommutingTable[[#This Row],[Converted data]]=""),"",(INDEX('Emission factors'!$K$3:$V$201,MATCH($B44&amp;$C44&amp;$D44,'Emission factors'!$J$3:$J$201&amp;'Emission factors'!$K$3:$K$201&amp;'Emission factors'!$L$3:$L$201,0),MATCH(O$30,'Emission factors'!$K$2:$V$2,0)))*$G44)</f>
        <v/>
      </c>
      <c r="P44" s="215" t="str">
        <f t="array" ref="P44">IF(OR($C44="",$E44="",CommutingTable[[#This Row],[Converted data]]=""),"",(INDEX('Emission factors'!$K$3:$V$201,MATCH($B44&amp;$C44&amp;$D44,'Emission factors'!$J$3:$J$201&amp;'Emission factors'!$K$3:$K$201&amp;'Emission factors'!$L$3:$L$201,0),MATCH(P$30,'Emission factors'!$K$2:$V$2,0)))*$G44)</f>
        <v/>
      </c>
    </row>
    <row r="45" spans="2:16" ht="15.75" thickBot="1" x14ac:dyDescent="0.3">
      <c r="B45" s="126"/>
      <c r="C45" s="123"/>
      <c r="D45" s="123"/>
      <c r="E45" s="120"/>
      <c r="F45" s="123"/>
      <c r="G45" s="30" t="str">
        <f t="array" ref="G45">IF(OR($B45="",$C45="",$D45="",F45=""),"",IF(F45=H45,E45,(INDEX('Emission factors'!$K$3:$V$276,MATCH($B45&amp;$C45&amp;$D45,'Emission factors'!$J$3:$J$276&amp;'Emission factors'!$K$3:$K$276&amp;'Emission factors'!$L$3:$L$276,0),MATCH('School Travel &amp; Staff Commute'!G$7,'Emission factors'!$K$2:$V$2,0)))*E45))</f>
        <v/>
      </c>
      <c r="H45" s="29" t="str">
        <f t="array" ref="H45">IF(OR($B45="",$C45="",$E45=""),"",INDEX('Emission factors'!$K$3:$V$276,MATCH($B45&amp;$C45&amp;$D45,'Emission factors'!$J$3:$J$276&amp;'Emission factors'!$K$3:$K$276&amp;'Emission factors'!$L$3:$L$276,0),MATCH('School Travel &amp; Staff Commute'!H$7,'Emission factors'!$K$2:$V$2,0)))</f>
        <v/>
      </c>
      <c r="I45" s="29" t="str">
        <f t="array" ref="I45">IF(OR(B45="",C45="",D45=""),"",INDEX('Emission factors'!$K$3:$V$276,MATCH($B45&amp;$C45&amp;$D45,'Emission factors'!$J$3:$J$276&amp;'Emission factors'!$K$3:$K$276&amp;'Emission factors'!$L$3:$L$276,0),MATCH('School Travel &amp; Staff Commute'!I$7,'Emission factors'!$K$2:$V$2,0)))</f>
        <v/>
      </c>
      <c r="J45" s="32" t="str">
        <f>IF(OR(G45="",I45=""),"",SUM(CommutingTable[[#This Row],[Direct]:[Indirect WTT]]))</f>
        <v/>
      </c>
      <c r="K45" s="122"/>
      <c r="L45" s="215" t="str">
        <f t="array" ref="L45">IF(OR($C45="",$E45="",CommutingTable[[#This Row],[Converted data]]=""),"",(INDEX('Emission factors'!$K$3:$V$201,MATCH($B45&amp;$C45&amp;$D45,'Emission factors'!$J$3:$J$201&amp;'Emission factors'!$K$3:$K$201&amp;'Emission factors'!$L$3:$L$201,0),MATCH(L$30,'Emission factors'!$K$2:$V$2,0)))*$G45)</f>
        <v/>
      </c>
      <c r="M45" s="215" t="str">
        <f t="array" ref="M45">IF(OR($C45="",$E45="",CommutingTable[[#This Row],[Converted data]]=""),"",(INDEX('Emission factors'!$K$3:$V$201,MATCH($B45&amp;$C45&amp;$D45,'Emission factors'!$J$3:$J$201&amp;'Emission factors'!$K$3:$K$201&amp;'Emission factors'!$L$3:$L$201,0),MATCH(M$30,'Emission factors'!$K$2:$V$2,0)))*$G45)</f>
        <v/>
      </c>
      <c r="N45" s="215" t="str">
        <f t="array" ref="N45">IF(OR($C45="",$E45="",CommutingTable[[#This Row],[Converted data]]=""),"",(INDEX('Emission factors'!$K$3:$V$201,MATCH($B45&amp;$C45&amp;$D45,'Emission factors'!$J$3:$J$201&amp;'Emission factors'!$K$3:$K$201&amp;'Emission factors'!$L$3:$L$201,0),MATCH(N$30,'Emission factors'!$K$2:$V$2,0)))*$G45)</f>
        <v/>
      </c>
      <c r="O45" s="215" t="str">
        <f t="array" ref="O45">IF(OR($C45="",$E45="",CommutingTable[[#This Row],[Converted data]]=""),"",(INDEX('Emission factors'!$K$3:$V$201,MATCH($B45&amp;$C45&amp;$D45,'Emission factors'!$J$3:$J$201&amp;'Emission factors'!$K$3:$K$201&amp;'Emission factors'!$L$3:$L$201,0),MATCH(O$30,'Emission factors'!$K$2:$V$2,0)))*$G45)</f>
        <v/>
      </c>
      <c r="P45" s="215" t="str">
        <f t="array" ref="P45">IF(OR($C45="",$E45="",CommutingTable[[#This Row],[Converted data]]=""),"",(INDEX('Emission factors'!$K$3:$V$201,MATCH($B45&amp;$C45&amp;$D45,'Emission factors'!$J$3:$J$201&amp;'Emission factors'!$K$3:$K$201&amp;'Emission factors'!$L$3:$L$201,0),MATCH(P$30,'Emission factors'!$K$2:$V$2,0)))*$G45)</f>
        <v/>
      </c>
    </row>
    <row r="46" spans="2:16" ht="15.75" thickBot="1" x14ac:dyDescent="0.3">
      <c r="B46" s="126"/>
      <c r="C46" s="123"/>
      <c r="D46" s="123"/>
      <c r="E46" s="120"/>
      <c r="F46" s="123"/>
      <c r="G46" s="30" t="str">
        <f t="array" ref="G46">IF(OR($B46="",$C46="",$D46="",F46=""),"",IF(F46=H46,E46,(INDEX('Emission factors'!$K$3:$V$276,MATCH($B46&amp;$C46&amp;$D46,'Emission factors'!$J$3:$J$276&amp;'Emission factors'!$K$3:$K$276&amp;'Emission factors'!$L$3:$L$276,0),MATCH('School Travel &amp; Staff Commute'!G$7,'Emission factors'!$K$2:$V$2,0)))*E46))</f>
        <v/>
      </c>
      <c r="H46" s="29" t="str">
        <f t="array" ref="H46">IF(OR($B46="",$C46="",$E46=""),"",INDEX('Emission factors'!$K$3:$V$276,MATCH($B46&amp;$C46&amp;$D46,'Emission factors'!$J$3:$J$276&amp;'Emission factors'!$K$3:$K$276&amp;'Emission factors'!$L$3:$L$276,0),MATCH('School Travel &amp; Staff Commute'!H$7,'Emission factors'!$K$2:$V$2,0)))</f>
        <v/>
      </c>
      <c r="I46" s="29" t="str">
        <f t="array" ref="I46">IF(OR(B46="",C46="",D46=""),"",INDEX('Emission factors'!$K$3:$V$276,MATCH($B46&amp;$C46&amp;$D46,'Emission factors'!$J$3:$J$276&amp;'Emission factors'!$K$3:$K$276&amp;'Emission factors'!$L$3:$L$276,0),MATCH('School Travel &amp; Staff Commute'!I$7,'Emission factors'!$K$2:$V$2,0)))</f>
        <v/>
      </c>
      <c r="J46" s="32" t="str">
        <f>IF(OR(G46="",I46=""),"",SUM(CommutingTable[[#This Row],[Direct]:[Indirect WTT]]))</f>
        <v/>
      </c>
      <c r="K46" s="122"/>
      <c r="L46" s="215" t="str">
        <f t="array" ref="L46">IF(OR($C46="",$E46="",CommutingTable[[#This Row],[Converted data]]=""),"",(INDEX('Emission factors'!$K$3:$V$201,MATCH($B46&amp;$C46&amp;$D46,'Emission factors'!$J$3:$J$201&amp;'Emission factors'!$K$3:$K$201&amp;'Emission factors'!$L$3:$L$201,0),MATCH(L$30,'Emission factors'!$K$2:$V$2,0)))*$G46)</f>
        <v/>
      </c>
      <c r="M46" s="215" t="str">
        <f t="array" ref="M46">IF(OR($C46="",$E46="",CommutingTable[[#This Row],[Converted data]]=""),"",(INDEX('Emission factors'!$K$3:$V$201,MATCH($B46&amp;$C46&amp;$D46,'Emission factors'!$J$3:$J$201&amp;'Emission factors'!$K$3:$K$201&amp;'Emission factors'!$L$3:$L$201,0),MATCH(M$30,'Emission factors'!$K$2:$V$2,0)))*$G46)</f>
        <v/>
      </c>
      <c r="N46" s="215" t="str">
        <f t="array" ref="N46">IF(OR($C46="",$E46="",CommutingTable[[#This Row],[Converted data]]=""),"",(INDEX('Emission factors'!$K$3:$V$201,MATCH($B46&amp;$C46&amp;$D46,'Emission factors'!$J$3:$J$201&amp;'Emission factors'!$K$3:$K$201&amp;'Emission factors'!$L$3:$L$201,0),MATCH(N$30,'Emission factors'!$K$2:$V$2,0)))*$G46)</f>
        <v/>
      </c>
      <c r="O46" s="215" t="str">
        <f t="array" ref="O46">IF(OR($C46="",$E46="",CommutingTable[[#This Row],[Converted data]]=""),"",(INDEX('Emission factors'!$K$3:$V$201,MATCH($B46&amp;$C46&amp;$D46,'Emission factors'!$J$3:$J$201&amp;'Emission factors'!$K$3:$K$201&amp;'Emission factors'!$L$3:$L$201,0),MATCH(O$30,'Emission factors'!$K$2:$V$2,0)))*$G46)</f>
        <v/>
      </c>
      <c r="P46" s="215" t="str">
        <f t="array" ref="P46">IF(OR($C46="",$E46="",CommutingTable[[#This Row],[Converted data]]=""),"",(INDEX('Emission factors'!$K$3:$V$201,MATCH($B46&amp;$C46&amp;$D46,'Emission factors'!$J$3:$J$201&amp;'Emission factors'!$K$3:$K$201&amp;'Emission factors'!$L$3:$L$201,0),MATCH(P$30,'Emission factors'!$K$2:$V$2,0)))*$G46)</f>
        <v/>
      </c>
    </row>
    <row r="47" spans="2:16" ht="15.75" thickBot="1" x14ac:dyDescent="0.3">
      <c r="B47" s="126"/>
      <c r="C47" s="123"/>
      <c r="D47" s="123"/>
      <c r="E47" s="120"/>
      <c r="F47" s="123"/>
      <c r="G47" s="30" t="str">
        <f t="array" ref="G47">IF(OR($B47="",$C47="",$D47="",F47=""),"",IF(F47=H47,E47,(INDEX('Emission factors'!$K$3:$V$276,MATCH($B47&amp;$C47&amp;$D47,'Emission factors'!$J$3:$J$276&amp;'Emission factors'!$K$3:$K$276&amp;'Emission factors'!$L$3:$L$276,0),MATCH('School Travel &amp; Staff Commute'!G$7,'Emission factors'!$K$2:$V$2,0)))*E47))</f>
        <v/>
      </c>
      <c r="H47" s="29" t="str">
        <f t="array" ref="H47">IF(OR($B47="",$C47="",$E47=""),"",INDEX('Emission factors'!$K$3:$V$276,MATCH($B47&amp;$C47&amp;$D47,'Emission factors'!$J$3:$J$276&amp;'Emission factors'!$K$3:$K$276&amp;'Emission factors'!$L$3:$L$276,0),MATCH('School Travel &amp; Staff Commute'!H$7,'Emission factors'!$K$2:$V$2,0)))</f>
        <v/>
      </c>
      <c r="I47" s="29" t="str">
        <f t="array" ref="I47">IF(OR(B47="",C47="",D47=""),"",INDEX('Emission factors'!$K$3:$V$276,MATCH($B47&amp;$C47&amp;$D47,'Emission factors'!$J$3:$J$276&amp;'Emission factors'!$K$3:$K$276&amp;'Emission factors'!$L$3:$L$276,0),MATCH('School Travel &amp; Staff Commute'!I$7,'Emission factors'!$K$2:$V$2,0)))</f>
        <v/>
      </c>
      <c r="J47" s="32" t="str">
        <f>IF(OR(G47="",I47=""),"",SUM(CommutingTable[[#This Row],[Direct]:[Indirect WTT]]))</f>
        <v/>
      </c>
      <c r="K47" s="122"/>
      <c r="L47" s="215" t="str">
        <f t="array" ref="L47">IF(OR($C47="",$E47="",CommutingTable[[#This Row],[Converted data]]=""),"",(INDEX('Emission factors'!$K$3:$V$201,MATCH($B47&amp;$C47&amp;$D47,'Emission factors'!$J$3:$J$201&amp;'Emission factors'!$K$3:$K$201&amp;'Emission factors'!$L$3:$L$201,0),MATCH(L$30,'Emission factors'!$K$2:$V$2,0)))*$G47)</f>
        <v/>
      </c>
      <c r="M47" s="215" t="str">
        <f t="array" ref="M47">IF(OR($C47="",$E47="",CommutingTable[[#This Row],[Converted data]]=""),"",(INDEX('Emission factors'!$K$3:$V$201,MATCH($B47&amp;$C47&amp;$D47,'Emission factors'!$J$3:$J$201&amp;'Emission factors'!$K$3:$K$201&amp;'Emission factors'!$L$3:$L$201,0),MATCH(M$30,'Emission factors'!$K$2:$V$2,0)))*$G47)</f>
        <v/>
      </c>
      <c r="N47" s="215" t="str">
        <f t="array" ref="N47">IF(OR($C47="",$E47="",CommutingTable[[#This Row],[Converted data]]=""),"",(INDEX('Emission factors'!$K$3:$V$201,MATCH($B47&amp;$C47&amp;$D47,'Emission factors'!$J$3:$J$201&amp;'Emission factors'!$K$3:$K$201&amp;'Emission factors'!$L$3:$L$201,0),MATCH(N$30,'Emission factors'!$K$2:$V$2,0)))*$G47)</f>
        <v/>
      </c>
      <c r="O47" s="215" t="str">
        <f t="array" ref="O47">IF(OR($C47="",$E47="",CommutingTable[[#This Row],[Converted data]]=""),"",(INDEX('Emission factors'!$K$3:$V$201,MATCH($B47&amp;$C47&amp;$D47,'Emission factors'!$J$3:$J$201&amp;'Emission factors'!$K$3:$K$201&amp;'Emission factors'!$L$3:$L$201,0),MATCH(O$30,'Emission factors'!$K$2:$V$2,0)))*$G47)</f>
        <v/>
      </c>
      <c r="P47" s="215" t="str">
        <f t="array" ref="P47">IF(OR($C47="",$E47="",CommutingTable[[#This Row],[Converted data]]=""),"",(INDEX('Emission factors'!$K$3:$V$201,MATCH($B47&amp;$C47&amp;$D47,'Emission factors'!$J$3:$J$201&amp;'Emission factors'!$K$3:$K$201&amp;'Emission factors'!$L$3:$L$201,0),MATCH(P$30,'Emission factors'!$K$2:$V$2,0)))*$G47)</f>
        <v/>
      </c>
    </row>
    <row r="48" spans="2:16" ht="15.75" thickBot="1" x14ac:dyDescent="0.3">
      <c r="B48" s="126"/>
      <c r="C48" s="123"/>
      <c r="D48" s="123"/>
      <c r="E48" s="120"/>
      <c r="F48" s="123"/>
      <c r="G48" s="30" t="str">
        <f t="array" ref="G48">IF(OR($B48="",$C48="",$D48="",F48=""),"",IF(F48=H48,E48,(INDEX('Emission factors'!$K$3:$V$276,MATCH($B48&amp;$C48&amp;$D48,'Emission factors'!$J$3:$J$276&amp;'Emission factors'!$K$3:$K$276&amp;'Emission factors'!$L$3:$L$276,0),MATCH('School Travel &amp; Staff Commute'!G$7,'Emission factors'!$K$2:$V$2,0)))*E48))</f>
        <v/>
      </c>
      <c r="H48" s="29" t="str">
        <f t="array" ref="H48">IF(OR($B48="",$C48="",$E48=""),"",INDEX('Emission factors'!$K$3:$V$276,MATCH($B48&amp;$C48&amp;$D48,'Emission factors'!$J$3:$J$276&amp;'Emission factors'!$K$3:$K$276&amp;'Emission factors'!$L$3:$L$276,0),MATCH('School Travel &amp; Staff Commute'!H$7,'Emission factors'!$K$2:$V$2,0)))</f>
        <v/>
      </c>
      <c r="I48" s="29" t="str">
        <f t="array" ref="I48">IF(OR(B48="",C48="",D48=""),"",INDEX('Emission factors'!$K$3:$V$276,MATCH($B48&amp;$C48&amp;$D48,'Emission factors'!$J$3:$J$276&amp;'Emission factors'!$K$3:$K$276&amp;'Emission factors'!$L$3:$L$276,0),MATCH('School Travel &amp; Staff Commute'!I$7,'Emission factors'!$K$2:$V$2,0)))</f>
        <v/>
      </c>
      <c r="J48" s="32" t="str">
        <f>IF(OR(G48="",I48=""),"",SUM(CommutingTable[[#This Row],[Direct]:[Indirect WTT]]))</f>
        <v/>
      </c>
      <c r="K48" s="122"/>
      <c r="L48" s="215" t="str">
        <f t="array" ref="L48">IF(OR($C48="",$E48="",CommutingTable[[#This Row],[Converted data]]=""),"",(INDEX('Emission factors'!$K$3:$V$201,MATCH($B48&amp;$C48&amp;$D48,'Emission factors'!$J$3:$J$201&amp;'Emission factors'!$K$3:$K$201&amp;'Emission factors'!$L$3:$L$201,0),MATCH(L$30,'Emission factors'!$K$2:$V$2,0)))*$G48)</f>
        <v/>
      </c>
      <c r="M48" s="215" t="str">
        <f t="array" ref="M48">IF(OR($C48="",$E48="",CommutingTable[[#This Row],[Converted data]]=""),"",(INDEX('Emission factors'!$K$3:$V$201,MATCH($B48&amp;$C48&amp;$D48,'Emission factors'!$J$3:$J$201&amp;'Emission factors'!$K$3:$K$201&amp;'Emission factors'!$L$3:$L$201,0),MATCH(M$30,'Emission factors'!$K$2:$V$2,0)))*$G48)</f>
        <v/>
      </c>
      <c r="N48" s="215" t="str">
        <f t="array" ref="N48">IF(OR($C48="",$E48="",CommutingTable[[#This Row],[Converted data]]=""),"",(INDEX('Emission factors'!$K$3:$V$201,MATCH($B48&amp;$C48&amp;$D48,'Emission factors'!$J$3:$J$201&amp;'Emission factors'!$K$3:$K$201&amp;'Emission factors'!$L$3:$L$201,0),MATCH(N$30,'Emission factors'!$K$2:$V$2,0)))*$G48)</f>
        <v/>
      </c>
      <c r="O48" s="215" t="str">
        <f t="array" ref="O48">IF(OR($C48="",$E48="",CommutingTable[[#This Row],[Converted data]]=""),"",(INDEX('Emission factors'!$K$3:$V$201,MATCH($B48&amp;$C48&amp;$D48,'Emission factors'!$J$3:$J$201&amp;'Emission factors'!$K$3:$K$201&amp;'Emission factors'!$L$3:$L$201,0),MATCH(O$30,'Emission factors'!$K$2:$V$2,0)))*$G48)</f>
        <v/>
      </c>
      <c r="P48" s="215" t="str">
        <f t="array" ref="P48">IF(OR($C48="",$E48="",CommutingTable[[#This Row],[Converted data]]=""),"",(INDEX('Emission factors'!$K$3:$V$201,MATCH($B48&amp;$C48&amp;$D48,'Emission factors'!$J$3:$J$201&amp;'Emission factors'!$K$3:$K$201&amp;'Emission factors'!$L$3:$L$201,0),MATCH(P$30,'Emission factors'!$K$2:$V$2,0)))*$G48)</f>
        <v/>
      </c>
    </row>
    <row r="49" spans="2:22" ht="15.75" thickBot="1" x14ac:dyDescent="0.3">
      <c r="B49" s="126"/>
      <c r="C49" s="123"/>
      <c r="D49" s="123"/>
      <c r="E49" s="120"/>
      <c r="F49" s="123"/>
      <c r="G49" s="42" t="str">
        <f t="array" ref="G49">IF(OR($B49="",$C49="",$D49="",F49=""),"",IF(F49=H49,E49,(INDEX('Emission factors'!$K$3:$V$276,MATCH($B49&amp;$C49&amp;$D49,'Emission factors'!$J$3:$J$276&amp;'Emission factors'!$K$3:$K$276&amp;'Emission factors'!$L$3:$L$276,0),MATCH('School Travel &amp; Staff Commute'!G$7,'Emission factors'!$K$2:$V$2,0)))*E49))</f>
        <v/>
      </c>
      <c r="H49" s="43" t="str">
        <f t="array" ref="H49">IF(OR($B49="",$C49="",$E49=""),"",INDEX('Emission factors'!$K$3:$V$276,MATCH($B49&amp;$C49&amp;$D49,'Emission factors'!$J$3:$J$276&amp;'Emission factors'!$K$3:$K$276&amp;'Emission factors'!$L$3:$L$276,0),MATCH('School Travel &amp; Staff Commute'!H$7,'Emission factors'!$K$2:$V$2,0)))</f>
        <v/>
      </c>
      <c r="I49" s="43" t="str">
        <f t="array" ref="I49">IF(OR(B49="",C49="",D49=""),"",INDEX('Emission factors'!$K$3:$V$276,MATCH($B49&amp;$C49&amp;$D49,'Emission factors'!$J$3:$J$276&amp;'Emission factors'!$K$3:$K$276&amp;'Emission factors'!$L$3:$L$276,0),MATCH('School Travel &amp; Staff Commute'!I$7,'Emission factors'!$K$2:$V$2,0)))</f>
        <v/>
      </c>
      <c r="J49" s="32" t="str">
        <f>IF(OR(G49="",I49=""),"",SUM(CommutingTable[[#This Row],[Direct]:[Indirect WTT]]))</f>
        <v/>
      </c>
      <c r="K49" s="124"/>
      <c r="L49" s="215" t="str">
        <f t="array" ref="L49">IF(OR($C49="",$E49="",CommutingTable[[#This Row],[Converted data]]=""),"",(INDEX('Emission factors'!$K$3:$V$201,MATCH($B49&amp;$C49&amp;$D49,'Emission factors'!$J$3:$J$201&amp;'Emission factors'!$K$3:$K$201&amp;'Emission factors'!$L$3:$L$201,0),MATCH(L$30,'Emission factors'!$K$2:$V$2,0)))*$G49)</f>
        <v/>
      </c>
      <c r="M49" s="215" t="str">
        <f t="array" ref="M49">IF(OR($C49="",$E49="",CommutingTable[[#This Row],[Converted data]]=""),"",(INDEX('Emission factors'!$K$3:$V$201,MATCH($B49&amp;$C49&amp;$D49,'Emission factors'!$J$3:$J$201&amp;'Emission factors'!$K$3:$K$201&amp;'Emission factors'!$L$3:$L$201,0),MATCH(M$30,'Emission factors'!$K$2:$V$2,0)))*$G49)</f>
        <v/>
      </c>
      <c r="N49" s="215" t="str">
        <f t="array" ref="N49">IF(OR($C49="",$E49="",CommutingTable[[#This Row],[Converted data]]=""),"",(INDEX('Emission factors'!$K$3:$V$201,MATCH($B49&amp;$C49&amp;$D49,'Emission factors'!$J$3:$J$201&amp;'Emission factors'!$K$3:$K$201&amp;'Emission factors'!$L$3:$L$201,0),MATCH(N$30,'Emission factors'!$K$2:$V$2,0)))*$G49)</f>
        <v/>
      </c>
      <c r="O49" s="215" t="str">
        <f t="array" ref="O49">IF(OR($C49="",$E49="",CommutingTable[[#This Row],[Converted data]]=""),"",(INDEX('Emission factors'!$K$3:$V$201,MATCH($B49&amp;$C49&amp;$D49,'Emission factors'!$J$3:$J$201&amp;'Emission factors'!$K$3:$K$201&amp;'Emission factors'!$L$3:$L$201,0),MATCH(O$30,'Emission factors'!$K$2:$V$2,0)))*$G49)</f>
        <v/>
      </c>
      <c r="P49" s="215" t="str">
        <f t="array" ref="P49">IF(OR($C49="",$E49="",CommutingTable[[#This Row],[Converted data]]=""),"",(INDEX('Emission factors'!$K$3:$V$201,MATCH($B49&amp;$C49&amp;$D49,'Emission factors'!$J$3:$J$201&amp;'Emission factors'!$K$3:$K$201&amp;'Emission factors'!$L$3:$L$201,0),MATCH(P$30,'Emission factors'!$K$2:$V$2,0)))*$G49)</f>
        <v/>
      </c>
    </row>
    <row r="50" spans="2:22" x14ac:dyDescent="0.25">
      <c r="U50" s="220"/>
      <c r="V50" s="54"/>
    </row>
    <row r="51" spans="2:22" x14ac:dyDescent="0.25">
      <c r="U51" s="220"/>
      <c r="V51" s="54"/>
    </row>
  </sheetData>
  <sheetProtection algorithmName="SHA-512" hashValue="n2xQfrcDOSB2f5o6XA/Uas7UKGgEu5UxGn2tU2gootcM/7o8x+A/dVB2651XdKLun9SJ0mbEqyrK/IUyYVPZIw==" saltValue="n2lsO96PDI4AwDj01888Fg==" spinCount="100000" sheet="1" objects="1" scenarios="1"/>
  <mergeCells count="8">
    <mergeCell ref="O1:P1"/>
    <mergeCell ref="Q1:R1"/>
    <mergeCell ref="O2:P2"/>
    <mergeCell ref="Q2:R2"/>
    <mergeCell ref="B5:N5"/>
    <mergeCell ref="B2:M2"/>
    <mergeCell ref="B4:M4"/>
    <mergeCell ref="B3:M3"/>
  </mergeCells>
  <conditionalFormatting sqref="B7:D27 B30:D49">
    <cfRule type="expression" dxfId="16" priority="28">
      <formula>ISERROR($J7)</formula>
    </cfRule>
  </conditionalFormatting>
  <conditionalFormatting sqref="B1:E1 B2:B4 B5:E5 B28:E28 B50:E189">
    <cfRule type="expression" dxfId="15" priority="3">
      <formula>ISERROR($L1)</formula>
    </cfRule>
  </conditionalFormatting>
  <conditionalFormatting sqref="I1 I5:I6 G7:G27 I28:I29 G30:G49 I50:I1048576">
    <cfRule type="cellIs" dxfId="14" priority="4" operator="equal">
      <formula>"There is an error in this table, see highlighted row(s)"</formula>
    </cfRule>
    <cfRule type="cellIs" dxfId="13" priority="5" operator="equal">
      <formula>"No errors in this table"</formula>
    </cfRule>
  </conditionalFormatting>
  <dataValidations count="9">
    <dataValidation type="list" allowBlank="1" showInputMessage="1" showErrorMessage="1" sqref="D13" xr:uid="{00000000-0002-0000-0300-000000000000}">
      <formula1>Methodologyall</formula1>
    </dataValidation>
    <dataValidation type="decimal" operator="greaterThan" allowBlank="1" showInputMessage="1" showErrorMessage="1" errorTitle="Numeric data" error="Please enter a number greater than zero" sqref="E8:E27 E31:E49" xr:uid="{00000000-0002-0000-0300-000001000000}">
      <formula1>0</formula1>
    </dataValidation>
    <dataValidation type="list" allowBlank="1" showInputMessage="1" showErrorMessage="1" sqref="D14:D27 D8:D12 D31:D49" xr:uid="{00000000-0002-0000-0300-000002000000}">
      <formula1>INDIRECT(CONCATENATE(SUBSTITUTE(B8," ","")&amp;SUBSTITUTE(C8," ","")))</formula1>
    </dataValidation>
    <dataValidation type="list" allowBlank="1" showInputMessage="1" showErrorMessage="1" sqref="C8:C27" xr:uid="{00000000-0002-0000-0300-000003000000}">
      <formula1>INDIRECT(CONCATENATE(SUBSTITUTE(B8," ","")&amp;SUBSTITUTE(C$7," ","")))</formula1>
    </dataValidation>
    <dataValidation type="list" allowBlank="1" showInputMessage="1" showErrorMessage="1" sqref="F8:F27" xr:uid="{00000000-0002-0000-0300-000004000000}">
      <formula1>INDIRECT(CONCATENATE(SUBSTITUTE($B8," ","")&amp;$F$7))</formula1>
    </dataValidation>
    <dataValidation type="list" allowBlank="1" showInputMessage="1" showErrorMessage="1" sqref="B31:B49" xr:uid="{00000000-0002-0000-0300-000005000000}">
      <formula1>INDIRECT(SUBSTITUTE($B$29," ",""))</formula1>
    </dataValidation>
    <dataValidation type="list" allowBlank="1" showInputMessage="1" showErrorMessage="1" sqref="C31:C49" xr:uid="{00000000-0002-0000-0300-000006000000}">
      <formula1>INDIRECT(CONCATENATE(SUBSTITUTE(B31," ","")&amp;SUBSTITUTE(C$30," ","")))</formula1>
    </dataValidation>
    <dataValidation type="list" allowBlank="1" showInputMessage="1" showErrorMessage="1" sqref="F31:F49" xr:uid="{00000000-0002-0000-0300-000007000000}">
      <formula1>INDIRECT(CONCATENATE(SUBSTITUTE($B31," ","")&amp;$F$30))</formula1>
    </dataValidation>
    <dataValidation type="list" allowBlank="1" showInputMessage="1" showErrorMessage="1" sqref="B8:B27" xr:uid="{00000000-0002-0000-0300-000008000000}">
      <formula1>Businesstravel</formula1>
    </dataValidation>
  </dataValidations>
  <pageMargins left="0.7" right="0.7" top="0.75" bottom="0.75" header="0.3" footer="0.3"/>
  <pageSetup paperSize="9" orientation="portrait"/>
  <headerFooter alignWithMargins="0"/>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27CCF9"/>
  </sheetPr>
  <dimension ref="A1:W51"/>
  <sheetViews>
    <sheetView workbookViewId="0">
      <selection activeCell="B8" sqref="B8"/>
    </sheetView>
  </sheetViews>
  <sheetFormatPr defaultColWidth="8.5703125" defaultRowHeight="15" x14ac:dyDescent="0.25"/>
  <cols>
    <col min="1" max="1" width="3.85546875" style="1" customWidth="1"/>
    <col min="2" max="2" width="33.85546875" style="1" customWidth="1"/>
    <col min="3" max="3" width="30.140625" style="1" customWidth="1"/>
    <col min="4" max="4" width="18.42578125" style="1" customWidth="1"/>
    <col min="5" max="5" width="14.140625" style="1" customWidth="1"/>
    <col min="6" max="6" width="11.5703125" style="1" customWidth="1"/>
    <col min="7" max="7" width="15.42578125" style="1" customWidth="1"/>
    <col min="8" max="8" width="15.5703125" style="1" customWidth="1"/>
    <col min="9" max="9" width="15" style="1" customWidth="1"/>
    <col min="10" max="10" width="22" style="1" customWidth="1"/>
    <col min="11" max="11" width="16" style="1" customWidth="1"/>
    <col min="12" max="12" width="11.85546875" style="1" customWidth="1"/>
    <col min="13" max="13" width="17.5703125" style="1" customWidth="1"/>
    <col min="14" max="14" width="12.85546875" style="1" customWidth="1"/>
    <col min="15" max="15" width="13.140625" style="1" customWidth="1"/>
    <col min="16" max="20" width="12.85546875" style="1" customWidth="1"/>
    <col min="21" max="21" width="12.85546875" style="26" customWidth="1"/>
    <col min="22" max="22" width="8.5703125" style="224" customWidth="1"/>
    <col min="23" max="23" width="8.5703125" style="54" customWidth="1"/>
    <col min="24" max="24" width="8.5703125" style="1" customWidth="1"/>
    <col min="25" max="16384" width="8.5703125" style="1"/>
  </cols>
  <sheetData>
    <row r="1" spans="1:23" ht="15.75" thickBot="1" x14ac:dyDescent="0.3">
      <c r="M1" s="129" t="s">
        <v>59</v>
      </c>
      <c r="N1" s="345" t="s">
        <v>2</v>
      </c>
      <c r="O1" s="346"/>
      <c r="P1" s="347"/>
      <c r="Q1" s="319" t="s">
        <v>5</v>
      </c>
      <c r="R1" s="320"/>
      <c r="V1" s="223"/>
    </row>
    <row r="2" spans="1:23" ht="19.5" thickBot="1" x14ac:dyDescent="0.35">
      <c r="B2" s="348" t="s">
        <v>1021</v>
      </c>
      <c r="C2" s="349"/>
      <c r="D2" s="349"/>
      <c r="E2" s="349"/>
      <c r="F2" s="350"/>
      <c r="G2" s="348"/>
      <c r="H2" s="349"/>
      <c r="I2" s="349"/>
      <c r="J2" s="349"/>
      <c r="K2" s="350"/>
      <c r="L2" s="236"/>
      <c r="M2" s="130"/>
      <c r="N2" s="342" t="s">
        <v>3</v>
      </c>
      <c r="O2" s="343"/>
      <c r="P2" s="344"/>
      <c r="Q2" s="321" t="s">
        <v>6</v>
      </c>
      <c r="R2" s="322"/>
    </row>
    <row r="3" spans="1:23" ht="95.25" customHeight="1" thickBot="1" x14ac:dyDescent="0.3">
      <c r="A3" s="26"/>
      <c r="B3" s="313" t="s">
        <v>1038</v>
      </c>
      <c r="C3" s="327"/>
      <c r="D3" s="327"/>
      <c r="E3" s="327"/>
      <c r="F3" s="327"/>
      <c r="G3" s="327"/>
      <c r="H3" s="327"/>
      <c r="I3" s="327"/>
      <c r="J3" s="327"/>
      <c r="K3" s="327"/>
      <c r="L3" s="327"/>
      <c r="M3" s="130"/>
    </row>
    <row r="4" spans="1:23" ht="110.25" customHeight="1" x14ac:dyDescent="0.25">
      <c r="A4" s="26"/>
      <c r="B4" s="341" t="s">
        <v>1028</v>
      </c>
      <c r="C4" s="327"/>
      <c r="D4" s="327"/>
      <c r="E4" s="327"/>
      <c r="F4" s="327"/>
      <c r="G4" s="327"/>
      <c r="H4" s="327"/>
      <c r="I4" s="327"/>
      <c r="J4" s="327"/>
      <c r="K4" s="327"/>
      <c r="L4" s="327"/>
      <c r="M4" s="130"/>
      <c r="N4" s="27"/>
    </row>
    <row r="5" spans="1:23" x14ac:dyDescent="0.25">
      <c r="B5" s="27"/>
      <c r="C5" s="27"/>
      <c r="D5" s="27"/>
      <c r="E5" s="27"/>
      <c r="F5" s="27"/>
      <c r="G5" s="27"/>
      <c r="H5" s="27"/>
      <c r="I5" s="27"/>
      <c r="J5" s="27"/>
      <c r="K5" s="27"/>
      <c r="L5" s="27"/>
    </row>
    <row r="6" spans="1:23" ht="19.5" thickBot="1" x14ac:dyDescent="0.3">
      <c r="B6" s="31" t="s">
        <v>25</v>
      </c>
      <c r="H6" s="128" t="str">
        <f>IFERROR(IF(SUM(OrganisationalWasteTable[Total EF (kgCO2e/unit)])&gt;0,"No errors in this table","No data entered"), "There is an error in this table, see highlighted row(s)")</f>
        <v>No data entered</v>
      </c>
      <c r="K6" s="40" t="s">
        <v>61</v>
      </c>
      <c r="S6" s="44"/>
      <c r="U6" s="203"/>
    </row>
    <row r="7" spans="1:23" ht="33" customHeight="1" thickBot="1" x14ac:dyDescent="0.3">
      <c r="B7" s="41" t="s">
        <v>109</v>
      </c>
      <c r="C7" s="28" t="s">
        <v>110</v>
      </c>
      <c r="D7" s="28" t="s">
        <v>67</v>
      </c>
      <c r="E7" s="28" t="s">
        <v>68</v>
      </c>
      <c r="F7" s="28" t="s">
        <v>69</v>
      </c>
      <c r="G7" s="28" t="s">
        <v>70</v>
      </c>
      <c r="H7" s="28" t="s">
        <v>71</v>
      </c>
      <c r="I7" s="28" t="s">
        <v>39</v>
      </c>
      <c r="J7" s="28" t="s">
        <v>72</v>
      </c>
      <c r="K7" s="8" t="s">
        <v>14</v>
      </c>
      <c r="L7" s="8" t="s">
        <v>73</v>
      </c>
      <c r="M7" s="8" t="s">
        <v>74</v>
      </c>
      <c r="N7" s="8" t="s">
        <v>75</v>
      </c>
      <c r="O7" s="8" t="s">
        <v>76</v>
      </c>
      <c r="P7" s="224"/>
      <c r="Q7" s="54"/>
      <c r="U7" s="1"/>
      <c r="V7" s="1"/>
      <c r="W7" s="1"/>
    </row>
    <row r="8" spans="1:23" ht="15.75" thickBot="1" x14ac:dyDescent="0.3">
      <c r="B8" s="126"/>
      <c r="C8" s="126"/>
      <c r="D8" s="120"/>
      <c r="E8" s="123"/>
      <c r="F8" s="32" t="str">
        <f t="array" ref="F8">IF(OR($B8="",$C8="",E8=""),"",IF(E8=G8,D8,(INDEX('Emission factors'!$K$3:$V$379,MATCH($B8&amp;$C8,'Emission factors'!$K$3:$K$379&amp;'Emission factors'!$L$3:$L$379,0),MATCH($F$7,'Emission factors'!$K$2:$V$2,0)))*D8))</f>
        <v/>
      </c>
      <c r="G8" s="29" t="str">
        <f t="array" ref="G8">IF(OR($B8="",$D8="",OrganisationalWasteTable[[#This Row],[Units]]=""),"",INDEX('Emission factors'!$K$3:$V$379,MATCH($B8&amp;$C8,'Emission factors'!$K$3:$K$379&amp;'Emission factors'!$L$3:$L$379,0),MATCH($G$7,'Emission factors'!$K$2:$V$2,0)))</f>
        <v/>
      </c>
      <c r="H8" s="233" t="str">
        <f t="array" ref="H8">IF(OR(B8="",C8="",OrganisationalWasteTable[[#This Row],[Data]]=""),"",INDEX('Emission factors'!$K$3:$V$379,MATCH($B8&amp;$C8,'Emission factors'!$K$3:$K$379&amp;'Emission factors'!$L$3:$L$379,0),MATCH($H$7,'Emission factors'!$K$2:$V$2,0)))</f>
        <v/>
      </c>
      <c r="I8" s="32" t="str">
        <f>IF(OR(OrganisationalWasteTable[[#This Row],[Waste type]]="",OrganisationalWasteTable[[#This Row],[Converted data]]=""),"",SUM(OrganisationalWasteTable[[#This Row],[Direct]:[Indirect WTT]]))</f>
        <v/>
      </c>
      <c r="J8" s="122"/>
      <c r="K8" s="217" t="str">
        <f t="array" ref="K8">IF(OR($B8="",$D8="",$F8=""),"",(INDEX('Emission factors'!$K$3:$V$379,MATCH($B8&amp;$C8,'Emission factors'!$K$3:$K$379&amp;'Emission factors'!$L$3:$L$379,0),MATCH(K$7,'Emission factors'!$K$2:$V$2,0)))*$F8)</f>
        <v/>
      </c>
      <c r="L8" s="217" t="str">
        <f t="array" ref="L8">IF(OR($B8="",$D8="",$F8=""),"",(INDEX('Emission factors'!$K$3:$V$379,MATCH($B8&amp;$C8,'Emission factors'!$K$3:$K$379&amp;'Emission factors'!$L$3:$L$379,0),MATCH(L$7,'Emission factors'!$K$2:$V$2,0)))*$F8)</f>
        <v/>
      </c>
      <c r="M8" s="217" t="str">
        <f t="array" ref="M8">IF(OR($B8="",$D8="",$F8=""),"",(INDEX('Emission factors'!$K$3:$V$379,MATCH($B8&amp;$C8,'Emission factors'!$K$3:$K$379&amp;'Emission factors'!$L$3:$L$379,0),MATCH(M$7,'Emission factors'!$K$2:$V$2,0)))*$F8)</f>
        <v/>
      </c>
      <c r="N8" s="217" t="str">
        <f t="array" ref="N8">IF(OR($B8="",$D8="",$F8=""),"",(INDEX('Emission factors'!$K$3:$V$379,MATCH($B8&amp;$C8,'Emission factors'!$K$3:$K$379&amp;'Emission factors'!$L$3:$L$379,0),MATCH(N$7,'Emission factors'!$K$2:$V$2,0)))*$F8)</f>
        <v/>
      </c>
      <c r="O8" s="217" t="str">
        <f t="array" ref="O8">IF(OR($B8="",$D8="",$F8=""),"",(INDEX('Emission factors'!$K$3:$V$379,MATCH($B8&amp;$C8,'Emission factors'!$K$3:$K$379&amp;'Emission factors'!$L$3:$L$379,0),MATCH(O$7,'Emission factors'!$K$2:$V$2,0)))*$F8)</f>
        <v/>
      </c>
      <c r="P8" s="224"/>
      <c r="Q8" s="54"/>
      <c r="U8" s="1"/>
      <c r="V8" s="1"/>
      <c r="W8" s="1"/>
    </row>
    <row r="9" spans="1:23" ht="15.75" thickBot="1" x14ac:dyDescent="0.3">
      <c r="B9" s="126"/>
      <c r="C9" s="123"/>
      <c r="D9" s="120"/>
      <c r="E9" s="123"/>
      <c r="F9" s="32" t="str">
        <f t="array" ref="F9">IF(OR($B9="",$C9="",E9=""),"",IF(E9=G9,D9,(INDEX('Emission factors'!$K$3:$V$379,MATCH($B9&amp;$C9,'Emission factors'!$K$3:$K$379&amp;'Emission factors'!$L$3:$L$379,0),MATCH($F$7,'Emission factors'!$K$2:$V$2,0)))*D9))</f>
        <v/>
      </c>
      <c r="G9" s="29" t="str">
        <f t="array" ref="G9">IF(OR($B9="",$D9="",OrganisationalWasteTable[[#This Row],[Units]]=""),"",INDEX('Emission factors'!$K$3:$V$379,MATCH($B9&amp;$C9,'Emission factors'!$K$3:$K$379&amp;'Emission factors'!$L$3:$L$379,0),MATCH($G$7,'Emission factors'!$K$2:$V$2,0)))</f>
        <v/>
      </c>
      <c r="H9" s="233" t="str">
        <f t="array" ref="H9">IF(OR(B9="",C9="",OrganisationalWasteTable[[#This Row],[Data]]=""),"",INDEX('Emission factors'!$K$3:$V$379,MATCH($B9&amp;$C9,'Emission factors'!$K$3:$K$379&amp;'Emission factors'!$L$3:$L$379,0),MATCH($H$7,'Emission factors'!$K$2:$V$2,0)))</f>
        <v/>
      </c>
      <c r="I9" s="32" t="str">
        <f>IF(OR(OrganisationalWasteTable[[#This Row],[Waste type]]="",OrganisationalWasteTable[[#This Row],[Converted data]]=""),"",SUM(OrganisationalWasteTable[[#This Row],[Direct]:[Indirect WTT]]))</f>
        <v/>
      </c>
      <c r="J9" s="122"/>
      <c r="K9" s="217" t="str">
        <f t="array" ref="K9">IF(OR($B9="",$D9="",$F9=""),"",(INDEX('Emission factors'!$K$3:$V$379,MATCH($B9&amp;$C9,'Emission factors'!$K$3:$K$379&amp;'Emission factors'!$L$3:$L$379,0),MATCH(K$7,'Emission factors'!$K$2:$V$2,0)))*$F9)</f>
        <v/>
      </c>
      <c r="L9" s="217" t="str">
        <f t="array" ref="L9">IF(OR($B9="",$D9="",$F9=""),"",(INDEX('Emission factors'!$K$3:$V$379,MATCH($B9&amp;$C9,'Emission factors'!$K$3:$K$379&amp;'Emission factors'!$L$3:$L$379,0),MATCH(L$7,'Emission factors'!$K$2:$V$2,0)))*$F9)</f>
        <v/>
      </c>
      <c r="M9" s="217" t="str">
        <f t="array" ref="M9">IF(OR($B9="",$D9="",$F9=""),"",(INDEX('Emission factors'!$K$3:$V$379,MATCH($B9&amp;$C9,'Emission factors'!$K$3:$K$379&amp;'Emission factors'!$L$3:$L$379,0),MATCH(M$7,'Emission factors'!$K$2:$V$2,0)))*$F9)</f>
        <v/>
      </c>
      <c r="N9" s="217" t="str">
        <f t="array" ref="N9">IF(OR($B9="",$D9="",$F9=""),"",(INDEX('Emission factors'!$K$3:$V$379,MATCH($B9&amp;$C9,'Emission factors'!$K$3:$K$379&amp;'Emission factors'!$L$3:$L$379,0),MATCH(N$7,'Emission factors'!$K$2:$V$2,0)))*$F9)</f>
        <v/>
      </c>
      <c r="O9" s="217" t="str">
        <f t="array" ref="O9">IF(OR($B9="",$D9="",$F9=""),"",(INDEX('Emission factors'!$K$3:$V$379,MATCH($B9&amp;$C9,'Emission factors'!$K$3:$K$379&amp;'Emission factors'!$L$3:$L$379,0),MATCH(O$7,'Emission factors'!$K$2:$V$2,0)))*$F9)</f>
        <v/>
      </c>
      <c r="P9" s="224"/>
      <c r="Q9" s="54"/>
      <c r="U9" s="1"/>
      <c r="V9" s="1"/>
      <c r="W9" s="1"/>
    </row>
    <row r="10" spans="1:23" ht="15.75" thickBot="1" x14ac:dyDescent="0.3">
      <c r="B10" s="126"/>
      <c r="C10" s="123"/>
      <c r="D10" s="120"/>
      <c r="E10" s="123"/>
      <c r="F10" s="32" t="str">
        <f t="array" ref="F10">IF(OR($B10="",$C10="",E10=""),"",IF(E10=G10,D10,(INDEX('Emission factors'!$K$3:$V$379,MATCH($B10&amp;$C10,'Emission factors'!$K$3:$K$379&amp;'Emission factors'!$L$3:$L$379,0),MATCH($F$7,'Emission factors'!$K$2:$V$2,0)))*D10))</f>
        <v/>
      </c>
      <c r="G10" s="29" t="str">
        <f t="array" ref="G10">IF(OR($B10="",$D10="",OrganisationalWasteTable[[#This Row],[Units]]=""),"",INDEX('Emission factors'!$K$3:$V$379,MATCH($B10&amp;$C10,'Emission factors'!$K$3:$K$379&amp;'Emission factors'!$L$3:$L$379,0),MATCH($G$7,'Emission factors'!$K$2:$V$2,0)))</f>
        <v/>
      </c>
      <c r="H10" s="233" t="str">
        <f t="array" ref="H10">IF(OR(B10="",C10="",OrganisationalWasteTable[[#This Row],[Data]]=""),"",INDEX('Emission factors'!$K$3:$V$379,MATCH($B10&amp;$C10,'Emission factors'!$K$3:$K$379&amp;'Emission factors'!$L$3:$L$379,0),MATCH($H$7,'Emission factors'!$K$2:$V$2,0)))</f>
        <v/>
      </c>
      <c r="I10" s="32" t="str">
        <f>IF(OR(OrganisationalWasteTable[[#This Row],[Waste type]]="",OrganisationalWasteTable[[#This Row],[Converted data]]=""),"",SUM(OrganisationalWasteTable[[#This Row],[Direct]:[Indirect WTT]]))</f>
        <v/>
      </c>
      <c r="J10" s="122"/>
      <c r="K10" s="217" t="str">
        <f t="array" ref="K10">IF(OR($B10="",$D10="",$F10=""),"",(INDEX('Emission factors'!$K$3:$V$379,MATCH($B10&amp;$C10,'Emission factors'!$K$3:$K$379&amp;'Emission factors'!$L$3:$L$379,0),MATCH(K$7,'Emission factors'!$K$2:$V$2,0)))*$F10)</f>
        <v/>
      </c>
      <c r="L10" s="217" t="str">
        <f t="array" ref="L10">IF(OR($B10="",$D10="",$F10=""),"",(INDEX('Emission factors'!$K$3:$V$379,MATCH($B10&amp;$C10,'Emission factors'!$K$3:$K$379&amp;'Emission factors'!$L$3:$L$379,0),MATCH(L$7,'Emission factors'!$K$2:$V$2,0)))*$F10)</f>
        <v/>
      </c>
      <c r="M10" s="217" t="str">
        <f t="array" ref="M10">IF(OR($B10="",$D10="",$F10=""),"",(INDEX('Emission factors'!$K$3:$V$379,MATCH($B10&amp;$C10,'Emission factors'!$K$3:$K$379&amp;'Emission factors'!$L$3:$L$379,0),MATCH(M$7,'Emission factors'!$K$2:$V$2,0)))*$F10)</f>
        <v/>
      </c>
      <c r="N10" s="217" t="str">
        <f t="array" ref="N10">IF(OR($B10="",$D10="",$F10=""),"",(INDEX('Emission factors'!$K$3:$V$379,MATCH($B10&amp;$C10,'Emission factors'!$K$3:$K$379&amp;'Emission factors'!$L$3:$L$379,0),MATCH(N$7,'Emission factors'!$K$2:$V$2,0)))*$F10)</f>
        <v/>
      </c>
      <c r="O10" s="217" t="str">
        <f t="array" ref="O10">IF(OR($B10="",$D10="",$F10=""),"",(INDEX('Emission factors'!$K$3:$V$379,MATCH($B10&amp;$C10,'Emission factors'!$K$3:$K$379&amp;'Emission factors'!$L$3:$L$379,0),MATCH(O$7,'Emission factors'!$K$2:$V$2,0)))*$F10)</f>
        <v/>
      </c>
      <c r="P10" s="224"/>
      <c r="Q10" s="54"/>
      <c r="U10" s="1"/>
      <c r="V10" s="1"/>
      <c r="W10" s="1"/>
    </row>
    <row r="11" spans="1:23" ht="15.75" thickBot="1" x14ac:dyDescent="0.3">
      <c r="B11" s="126"/>
      <c r="C11" s="123"/>
      <c r="D11" s="120"/>
      <c r="E11" s="123"/>
      <c r="F11" s="32" t="str">
        <f t="array" ref="F11">IF(OR($B11="",$C11="",E11=""),"",IF(E11=G11,D11,(INDEX('Emission factors'!$K$3:$V$379,MATCH($B11&amp;$C11,'Emission factors'!$K$3:$K$379&amp;'Emission factors'!$L$3:$L$379,0),MATCH($F$7,'Emission factors'!$K$2:$V$2,0)))*D11))</f>
        <v/>
      </c>
      <c r="G11" s="29" t="str">
        <f t="array" ref="G11">IF(OR($B11="",$D11="",OrganisationalWasteTable[[#This Row],[Units]]=""),"",INDEX('Emission factors'!$K$3:$V$379,MATCH($B11&amp;$C11,'Emission factors'!$K$3:$K$379&amp;'Emission factors'!$L$3:$L$379,0),MATCH($G$7,'Emission factors'!$K$2:$V$2,0)))</f>
        <v/>
      </c>
      <c r="H11" s="233" t="str">
        <f t="array" ref="H11">IF(OR(B11="",C11="",OrganisationalWasteTable[[#This Row],[Data]]=""),"",INDEX('Emission factors'!$K$3:$V$379,MATCH($B11&amp;$C11,'Emission factors'!$K$3:$K$379&amp;'Emission factors'!$L$3:$L$379,0),MATCH($H$7,'Emission factors'!$K$2:$V$2,0)))</f>
        <v/>
      </c>
      <c r="I11" s="32" t="str">
        <f>IF(OR(OrganisationalWasteTable[[#This Row],[Waste type]]="",OrganisationalWasteTable[[#This Row],[Converted data]]=""),"",SUM(OrganisationalWasteTable[[#This Row],[Direct]:[Indirect WTT]]))</f>
        <v/>
      </c>
      <c r="J11" s="122"/>
      <c r="K11" s="217" t="str">
        <f t="array" ref="K11">IF(OR($B11="",$D11="",$F11=""),"",(INDEX('Emission factors'!$K$3:$V$379,MATCH($B11&amp;$C11,'Emission factors'!$K$3:$K$379&amp;'Emission factors'!$L$3:$L$379,0),MATCH(K$7,'Emission factors'!$K$2:$V$2,0)))*$F11)</f>
        <v/>
      </c>
      <c r="L11" s="217" t="str">
        <f t="array" ref="L11">IF(OR($B11="",$D11="",$F11=""),"",(INDEX('Emission factors'!$K$3:$V$379,MATCH($B11&amp;$C11,'Emission factors'!$K$3:$K$379&amp;'Emission factors'!$L$3:$L$379,0),MATCH(L$7,'Emission factors'!$K$2:$V$2,0)))*$F11)</f>
        <v/>
      </c>
      <c r="M11" s="217" t="str">
        <f t="array" ref="M11">IF(OR($B11="",$D11="",$F11=""),"",(INDEX('Emission factors'!$K$3:$V$379,MATCH($B11&amp;$C11,'Emission factors'!$K$3:$K$379&amp;'Emission factors'!$L$3:$L$379,0),MATCH(M$7,'Emission factors'!$K$2:$V$2,0)))*$F11)</f>
        <v/>
      </c>
      <c r="N11" s="217" t="str">
        <f t="array" ref="N11">IF(OR($B11="",$D11="",$F11=""),"",(INDEX('Emission factors'!$K$3:$V$379,MATCH($B11&amp;$C11,'Emission factors'!$K$3:$K$379&amp;'Emission factors'!$L$3:$L$379,0),MATCH(N$7,'Emission factors'!$K$2:$V$2,0)))*$F11)</f>
        <v/>
      </c>
      <c r="O11" s="217" t="str">
        <f t="array" ref="O11">IF(OR($B11="",$D11="",$F11=""),"",(INDEX('Emission factors'!$K$3:$V$379,MATCH($B11&amp;$C11,'Emission factors'!$K$3:$K$379&amp;'Emission factors'!$L$3:$L$379,0),MATCH(O$7,'Emission factors'!$K$2:$V$2,0)))*$F11)</f>
        <v/>
      </c>
      <c r="P11" s="224"/>
      <c r="Q11" s="54"/>
      <c r="U11" s="1"/>
      <c r="V11" s="1"/>
      <c r="W11" s="1"/>
    </row>
    <row r="12" spans="1:23" ht="15.75" thickBot="1" x14ac:dyDescent="0.3">
      <c r="B12" s="126"/>
      <c r="C12" s="123"/>
      <c r="D12" s="120"/>
      <c r="E12" s="123"/>
      <c r="F12" s="32" t="str">
        <f t="array" ref="F12">IF(OR($B12="",$C12="",E12=""),"",IF(E12=G12,D12,(INDEX('Emission factors'!$K$3:$V$379,MATCH($B12&amp;$C12,'Emission factors'!$K$3:$K$379&amp;'Emission factors'!$L$3:$L$379,0),MATCH($F$7,'Emission factors'!$K$2:$V$2,0)))*D12))</f>
        <v/>
      </c>
      <c r="G12" s="29" t="str">
        <f t="array" ref="G12">IF(OR($B12="",$D12="",OrganisationalWasteTable[[#This Row],[Units]]=""),"",INDEX('Emission factors'!$K$3:$V$379,MATCH($B12&amp;$C12,'Emission factors'!$K$3:$K$379&amp;'Emission factors'!$L$3:$L$379,0),MATCH($G$7,'Emission factors'!$K$2:$V$2,0)))</f>
        <v/>
      </c>
      <c r="H12" s="233" t="str">
        <f t="array" ref="H12">IF(OR(B12="",C12="",OrganisationalWasteTable[[#This Row],[Data]]=""),"",INDEX('Emission factors'!$K$3:$V$379,MATCH($B12&amp;$C12,'Emission factors'!$K$3:$K$379&amp;'Emission factors'!$L$3:$L$379,0),MATCH($H$7,'Emission factors'!$K$2:$V$2,0)))</f>
        <v/>
      </c>
      <c r="I12" s="32" t="str">
        <f>IF(OR(OrganisationalWasteTable[[#This Row],[Waste type]]="",OrganisationalWasteTable[[#This Row],[Converted data]]=""),"",SUM(OrganisationalWasteTable[[#This Row],[Direct]:[Indirect WTT]]))</f>
        <v/>
      </c>
      <c r="J12" s="122"/>
      <c r="K12" s="217" t="str">
        <f t="array" ref="K12">IF(OR($B12="",$D12="",$F12=""),"",(INDEX('Emission factors'!$K$3:$V$379,MATCH($B12&amp;$C12,'Emission factors'!$K$3:$K$379&amp;'Emission factors'!$L$3:$L$379,0),MATCH(K$7,'Emission factors'!$K$2:$V$2,0)))*$F12)</f>
        <v/>
      </c>
      <c r="L12" s="217" t="str">
        <f t="array" ref="L12">IF(OR($B12="",$D12="",$F12=""),"",(INDEX('Emission factors'!$K$3:$V$379,MATCH($B12&amp;$C12,'Emission factors'!$K$3:$K$379&amp;'Emission factors'!$L$3:$L$379,0),MATCH(L$7,'Emission factors'!$K$2:$V$2,0)))*$F12)</f>
        <v/>
      </c>
      <c r="M12" s="217" t="str">
        <f t="array" ref="M12">IF(OR($B12="",$D12="",$F12=""),"",(INDEX('Emission factors'!$K$3:$V$379,MATCH($B12&amp;$C12,'Emission factors'!$K$3:$K$379&amp;'Emission factors'!$L$3:$L$379,0),MATCH(M$7,'Emission factors'!$K$2:$V$2,0)))*$F12)</f>
        <v/>
      </c>
      <c r="N12" s="217" t="str">
        <f t="array" ref="N12">IF(OR($B12="",$D12="",$F12=""),"",(INDEX('Emission factors'!$K$3:$V$379,MATCH($B12&amp;$C12,'Emission factors'!$K$3:$K$379&amp;'Emission factors'!$L$3:$L$379,0),MATCH(N$7,'Emission factors'!$K$2:$V$2,0)))*$F12)</f>
        <v/>
      </c>
      <c r="O12" s="217" t="str">
        <f t="array" ref="O12">IF(OR($B12="",$D12="",$F12=""),"",(INDEX('Emission factors'!$K$3:$V$379,MATCH($B12&amp;$C12,'Emission factors'!$K$3:$K$379&amp;'Emission factors'!$L$3:$L$379,0),MATCH(O$7,'Emission factors'!$K$2:$V$2,0)))*$F12)</f>
        <v/>
      </c>
      <c r="P12" s="224"/>
      <c r="Q12" s="54"/>
      <c r="U12" s="1"/>
      <c r="V12" s="1"/>
      <c r="W12" s="1"/>
    </row>
    <row r="13" spans="1:23" ht="15.75" thickBot="1" x14ac:dyDescent="0.3">
      <c r="B13" s="126"/>
      <c r="C13" s="123"/>
      <c r="D13" s="120"/>
      <c r="E13" s="123"/>
      <c r="F13" s="32" t="str">
        <f t="array" ref="F13">IF(OR($B13="",$C13="",E13=""),"",IF(E13=G13,D13,(INDEX('Emission factors'!$K$3:$V$379,MATCH($B13&amp;$C13,'Emission factors'!$K$3:$K$379&amp;'Emission factors'!$L$3:$L$379,0),MATCH($F$7,'Emission factors'!$K$2:$V$2,0)))*D13))</f>
        <v/>
      </c>
      <c r="G13" s="29" t="str">
        <f t="array" ref="G13">IF(OR($B13="",$D13="",OrganisationalWasteTable[[#This Row],[Units]]=""),"",INDEX('Emission factors'!$K$3:$V$379,MATCH($B13&amp;$C13,'Emission factors'!$K$3:$K$379&amp;'Emission factors'!$L$3:$L$379,0),MATCH($G$7,'Emission factors'!$K$2:$V$2,0)))</f>
        <v/>
      </c>
      <c r="H13" s="233" t="str">
        <f t="array" ref="H13">IF(OR(B13="",C13="",OrganisationalWasteTable[[#This Row],[Data]]=""),"",INDEX('Emission factors'!$K$3:$V$379,MATCH($B13&amp;$C13,'Emission factors'!$K$3:$K$379&amp;'Emission factors'!$L$3:$L$379,0),MATCH($H$7,'Emission factors'!$K$2:$V$2,0)))</f>
        <v/>
      </c>
      <c r="I13" s="32" t="str">
        <f>IF(OR(OrganisationalWasteTable[[#This Row],[Waste type]]="",OrganisationalWasteTable[[#This Row],[Converted data]]=""),"",SUM(OrganisationalWasteTable[[#This Row],[Direct]:[Indirect WTT]]))</f>
        <v/>
      </c>
      <c r="J13" s="122"/>
      <c r="K13" s="217" t="str">
        <f t="array" ref="K13">IF(OR($B13="",$D13="",$F13=""),"",(INDEX('Emission factors'!$K$3:$V$379,MATCH($B13&amp;$C13,'Emission factors'!$K$3:$K$379&amp;'Emission factors'!$L$3:$L$379,0),MATCH(K$7,'Emission factors'!$K$2:$V$2,0)))*$F13)</f>
        <v/>
      </c>
      <c r="L13" s="217" t="str">
        <f t="array" ref="L13">IF(OR($B13="",$D13="",$F13=""),"",(INDEX('Emission factors'!$K$3:$V$379,MATCH($B13&amp;$C13,'Emission factors'!$K$3:$K$379&amp;'Emission factors'!$L$3:$L$379,0),MATCH(L$7,'Emission factors'!$K$2:$V$2,0)))*$F13)</f>
        <v/>
      </c>
      <c r="M13" s="217" t="str">
        <f t="array" ref="M13">IF(OR($B13="",$D13="",$F13=""),"",(INDEX('Emission factors'!$K$3:$V$379,MATCH($B13&amp;$C13,'Emission factors'!$K$3:$K$379&amp;'Emission factors'!$L$3:$L$379,0),MATCH(M$7,'Emission factors'!$K$2:$V$2,0)))*$F13)</f>
        <v/>
      </c>
      <c r="N13" s="217" t="str">
        <f t="array" ref="N13">IF(OR($B13="",$D13="",$F13=""),"",(INDEX('Emission factors'!$K$3:$V$379,MATCH($B13&amp;$C13,'Emission factors'!$K$3:$K$379&amp;'Emission factors'!$L$3:$L$379,0),MATCH(N$7,'Emission factors'!$K$2:$V$2,0)))*$F13)</f>
        <v/>
      </c>
      <c r="O13" s="217" t="str">
        <f t="array" ref="O13">IF(OR($B13="",$D13="",$F13=""),"",(INDEX('Emission factors'!$K$3:$V$379,MATCH($B13&amp;$C13,'Emission factors'!$K$3:$K$379&amp;'Emission factors'!$L$3:$L$379,0),MATCH(O$7,'Emission factors'!$K$2:$V$2,0)))*$F13)</f>
        <v/>
      </c>
      <c r="P13" s="224"/>
      <c r="Q13" s="54"/>
      <c r="U13" s="1"/>
      <c r="V13" s="1"/>
      <c r="W13" s="1"/>
    </row>
    <row r="14" spans="1:23" ht="15.75" thickBot="1" x14ac:dyDescent="0.3">
      <c r="B14" s="126"/>
      <c r="C14" s="123"/>
      <c r="D14" s="120"/>
      <c r="E14" s="123"/>
      <c r="F14" s="32" t="str">
        <f t="array" ref="F14">IF(OR($B14="",$C14="",E14=""),"",IF(E14=G14,D14,(INDEX('Emission factors'!$K$3:$V$379,MATCH($B14&amp;$C14,'Emission factors'!$K$3:$K$379&amp;'Emission factors'!$L$3:$L$379,0),MATCH($F$7,'Emission factors'!$K$2:$V$2,0)))*D14))</f>
        <v/>
      </c>
      <c r="G14" s="29" t="str">
        <f t="array" ref="G14">IF(OR($B14="",$D14="",OrganisationalWasteTable[[#This Row],[Units]]=""),"",INDEX('Emission factors'!$K$3:$V$379,MATCH($B14&amp;$C14,'Emission factors'!$K$3:$K$379&amp;'Emission factors'!$L$3:$L$379,0),MATCH($G$7,'Emission factors'!$K$2:$V$2,0)))</f>
        <v/>
      </c>
      <c r="H14" s="233" t="str">
        <f t="array" ref="H14">IF(OR(B14="",C14="",OrganisationalWasteTable[[#This Row],[Data]]=""),"",INDEX('Emission factors'!$K$3:$V$379,MATCH($B14&amp;$C14,'Emission factors'!$K$3:$K$379&amp;'Emission factors'!$L$3:$L$379,0),MATCH($H$7,'Emission factors'!$K$2:$V$2,0)))</f>
        <v/>
      </c>
      <c r="I14" s="32" t="str">
        <f>IF(OR(OrganisationalWasteTable[[#This Row],[Waste type]]="",OrganisationalWasteTable[[#This Row],[Converted data]]=""),"",SUM(OrganisationalWasteTable[[#This Row],[Direct]:[Indirect WTT]]))</f>
        <v/>
      </c>
      <c r="J14" s="122"/>
      <c r="K14" s="217" t="str">
        <f t="array" ref="K14">IF(OR($B14="",$D14="",$F14=""),"",(INDEX('Emission factors'!$K$3:$V$379,MATCH($B14&amp;$C14,'Emission factors'!$K$3:$K$379&amp;'Emission factors'!$L$3:$L$379,0),MATCH(K$7,'Emission factors'!$K$2:$V$2,0)))*$F14)</f>
        <v/>
      </c>
      <c r="L14" s="217" t="str">
        <f t="array" ref="L14">IF(OR($B14="",$D14="",$F14=""),"",(INDEX('Emission factors'!$K$3:$V$379,MATCH($B14&amp;$C14,'Emission factors'!$K$3:$K$379&amp;'Emission factors'!$L$3:$L$379,0),MATCH(L$7,'Emission factors'!$K$2:$V$2,0)))*$F14)</f>
        <v/>
      </c>
      <c r="M14" s="217" t="str">
        <f t="array" ref="M14">IF(OR($B14="",$D14="",$F14=""),"",(INDEX('Emission factors'!$K$3:$V$379,MATCH($B14&amp;$C14,'Emission factors'!$K$3:$K$379&amp;'Emission factors'!$L$3:$L$379,0),MATCH(M$7,'Emission factors'!$K$2:$V$2,0)))*$F14)</f>
        <v/>
      </c>
      <c r="N14" s="217" t="str">
        <f t="array" ref="N14">IF(OR($B14="",$D14="",$F14=""),"",(INDEX('Emission factors'!$K$3:$V$379,MATCH($B14&amp;$C14,'Emission factors'!$K$3:$K$379&amp;'Emission factors'!$L$3:$L$379,0),MATCH(N$7,'Emission factors'!$K$2:$V$2,0)))*$F14)</f>
        <v/>
      </c>
      <c r="O14" s="217" t="str">
        <f t="array" ref="O14">IF(OR($B14="",$D14="",$F14=""),"",(INDEX('Emission factors'!$K$3:$V$379,MATCH($B14&amp;$C14,'Emission factors'!$K$3:$K$379&amp;'Emission factors'!$L$3:$L$379,0),MATCH(O$7,'Emission factors'!$K$2:$V$2,0)))*$F14)</f>
        <v/>
      </c>
      <c r="P14" s="224"/>
      <c r="Q14" s="54"/>
      <c r="U14" s="1"/>
      <c r="V14" s="1"/>
      <c r="W14" s="1"/>
    </row>
    <row r="15" spans="1:23" ht="15.75" thickBot="1" x14ac:dyDescent="0.3">
      <c r="B15" s="126"/>
      <c r="C15" s="123"/>
      <c r="D15" s="120"/>
      <c r="E15" s="123"/>
      <c r="F15" s="32" t="str">
        <f t="array" ref="F15">IF(OR($B15="",$C15="",E15=""),"",IF(E15=G15,D15,(INDEX('Emission factors'!$K$3:$V$379,MATCH($B15&amp;$C15,'Emission factors'!$K$3:$K$379&amp;'Emission factors'!$L$3:$L$379,0),MATCH($F$7,'Emission factors'!$K$2:$V$2,0)))*D15))</f>
        <v/>
      </c>
      <c r="G15" s="29" t="str">
        <f t="array" ref="G15">IF(OR($B15="",$D15="",OrganisationalWasteTable[[#This Row],[Units]]=""),"",INDEX('Emission factors'!$K$3:$V$379,MATCH($B15&amp;$C15,'Emission factors'!$K$3:$K$379&amp;'Emission factors'!$L$3:$L$379,0),MATCH($G$7,'Emission factors'!$K$2:$V$2,0)))</f>
        <v/>
      </c>
      <c r="H15" s="233" t="str">
        <f t="array" ref="H15">IF(OR(B15="",C15="",OrganisationalWasteTable[[#This Row],[Data]]=""),"",INDEX('Emission factors'!$K$3:$V$379,MATCH($B15&amp;$C15,'Emission factors'!$K$3:$K$379&amp;'Emission factors'!$L$3:$L$379,0),MATCH($H$7,'Emission factors'!$K$2:$V$2,0)))</f>
        <v/>
      </c>
      <c r="I15" s="32" t="str">
        <f>IF(OR(OrganisationalWasteTable[[#This Row],[Waste type]]="",OrganisationalWasteTable[[#This Row],[Converted data]]=""),"",SUM(OrganisationalWasteTable[[#This Row],[Direct]:[Indirect WTT]]))</f>
        <v/>
      </c>
      <c r="J15" s="122"/>
      <c r="K15" s="217" t="str">
        <f t="array" ref="K15">IF(OR($B15="",$D15="",$F15=""),"",(INDEX('Emission factors'!$K$3:$V$379,MATCH($B15&amp;$C15,'Emission factors'!$K$3:$K$379&amp;'Emission factors'!$L$3:$L$379,0),MATCH(K$7,'Emission factors'!$K$2:$V$2,0)))*$F15)</f>
        <v/>
      </c>
      <c r="L15" s="217" t="str">
        <f t="array" ref="L15">IF(OR($B15="",$D15="",$F15=""),"",(INDEX('Emission factors'!$K$3:$V$379,MATCH($B15&amp;$C15,'Emission factors'!$K$3:$K$379&amp;'Emission factors'!$L$3:$L$379,0),MATCH(L$7,'Emission factors'!$K$2:$V$2,0)))*$F15)</f>
        <v/>
      </c>
      <c r="M15" s="217" t="str">
        <f t="array" ref="M15">IF(OR($B15="",$D15="",$F15=""),"",(INDEX('Emission factors'!$K$3:$V$379,MATCH($B15&amp;$C15,'Emission factors'!$K$3:$K$379&amp;'Emission factors'!$L$3:$L$379,0),MATCH(M$7,'Emission factors'!$K$2:$V$2,0)))*$F15)</f>
        <v/>
      </c>
      <c r="N15" s="217" t="str">
        <f t="array" ref="N15">IF(OR($B15="",$D15="",$F15=""),"",(INDEX('Emission factors'!$K$3:$V$379,MATCH($B15&amp;$C15,'Emission factors'!$K$3:$K$379&amp;'Emission factors'!$L$3:$L$379,0),MATCH(N$7,'Emission factors'!$K$2:$V$2,0)))*$F15)</f>
        <v/>
      </c>
      <c r="O15" s="217" t="str">
        <f t="array" ref="O15">IF(OR($B15="",$D15="",$F15=""),"",(INDEX('Emission factors'!$K$3:$V$379,MATCH($B15&amp;$C15,'Emission factors'!$K$3:$K$379&amp;'Emission factors'!$L$3:$L$379,0),MATCH(O$7,'Emission factors'!$K$2:$V$2,0)))*$F15)</f>
        <v/>
      </c>
      <c r="P15" s="224"/>
      <c r="Q15" s="54"/>
      <c r="U15" s="1"/>
      <c r="V15" s="1"/>
      <c r="W15" s="1"/>
    </row>
    <row r="16" spans="1:23" ht="15.75" thickBot="1" x14ac:dyDescent="0.3">
      <c r="B16" s="126"/>
      <c r="C16" s="123"/>
      <c r="D16" s="120"/>
      <c r="E16" s="123"/>
      <c r="F16" s="32" t="str">
        <f t="array" ref="F16">IF(OR($B16="",$C16="",E16=""),"",IF(E16=G16,D16,(INDEX('Emission factors'!$K$3:$V$379,MATCH($B16&amp;$C16,'Emission factors'!$K$3:$K$379&amp;'Emission factors'!$L$3:$L$379,0),MATCH($F$7,'Emission factors'!$K$2:$V$2,0)))*D16))</f>
        <v/>
      </c>
      <c r="G16" s="29" t="str">
        <f t="array" ref="G16">IF(OR($B16="",$D16="",OrganisationalWasteTable[[#This Row],[Units]]=""),"",INDEX('Emission factors'!$K$3:$V$379,MATCH($B16&amp;$C16,'Emission factors'!$K$3:$K$379&amp;'Emission factors'!$L$3:$L$379,0),MATCH($G$7,'Emission factors'!$K$2:$V$2,0)))</f>
        <v/>
      </c>
      <c r="H16" s="233" t="str">
        <f t="array" ref="H16">IF(OR(B16="",C16="",OrganisationalWasteTable[[#This Row],[Data]]=""),"",INDEX('Emission factors'!$K$3:$V$379,MATCH($B16&amp;$C16,'Emission factors'!$K$3:$K$379&amp;'Emission factors'!$L$3:$L$379,0),MATCH($H$7,'Emission factors'!$K$2:$V$2,0)))</f>
        <v/>
      </c>
      <c r="I16" s="32" t="str">
        <f>IF(OR(OrganisationalWasteTable[[#This Row],[Waste type]]="",OrganisationalWasteTable[[#This Row],[Converted data]]=""),"",SUM(OrganisationalWasteTable[[#This Row],[Direct]:[Indirect WTT]]))</f>
        <v/>
      </c>
      <c r="J16" s="122"/>
      <c r="K16" s="217" t="str">
        <f t="array" ref="K16">IF(OR($B16="",$D16="",$F16=""),"",(INDEX('Emission factors'!$K$3:$V$379,MATCH($B16&amp;$C16,'Emission factors'!$K$3:$K$379&amp;'Emission factors'!$L$3:$L$379,0),MATCH(K$7,'Emission factors'!$K$2:$V$2,0)))*$F16)</f>
        <v/>
      </c>
      <c r="L16" s="217" t="str">
        <f t="array" ref="L16">IF(OR($B16="",$D16="",$F16=""),"",(INDEX('Emission factors'!$K$3:$V$379,MATCH($B16&amp;$C16,'Emission factors'!$K$3:$K$379&amp;'Emission factors'!$L$3:$L$379,0),MATCH(L$7,'Emission factors'!$K$2:$V$2,0)))*$F16)</f>
        <v/>
      </c>
      <c r="M16" s="217" t="str">
        <f t="array" ref="M16">IF(OR($B16="",$D16="",$F16=""),"",(INDEX('Emission factors'!$K$3:$V$379,MATCH($B16&amp;$C16,'Emission factors'!$K$3:$K$379&amp;'Emission factors'!$L$3:$L$379,0),MATCH(M$7,'Emission factors'!$K$2:$V$2,0)))*$F16)</f>
        <v/>
      </c>
      <c r="N16" s="217" t="str">
        <f t="array" ref="N16">IF(OR($B16="",$D16="",$F16=""),"",(INDEX('Emission factors'!$K$3:$V$379,MATCH($B16&amp;$C16,'Emission factors'!$K$3:$K$379&amp;'Emission factors'!$L$3:$L$379,0),MATCH(N$7,'Emission factors'!$K$2:$V$2,0)))*$F16)</f>
        <v/>
      </c>
      <c r="O16" s="217" t="str">
        <f t="array" ref="O16">IF(OR($B16="",$D16="",$F16=""),"",(INDEX('Emission factors'!$K$3:$V$379,MATCH($B16&amp;$C16,'Emission factors'!$K$3:$K$379&amp;'Emission factors'!$L$3:$L$379,0),MATCH(O$7,'Emission factors'!$K$2:$V$2,0)))*$F16)</f>
        <v/>
      </c>
      <c r="P16" s="224"/>
      <c r="Q16" s="54"/>
      <c r="U16" s="1"/>
      <c r="V16" s="1"/>
      <c r="W16" s="1"/>
    </row>
    <row r="17" spans="2:23" ht="15.75" thickBot="1" x14ac:dyDescent="0.3">
      <c r="B17" s="126"/>
      <c r="C17" s="123"/>
      <c r="D17" s="120"/>
      <c r="E17" s="123"/>
      <c r="F17" s="32" t="str">
        <f t="array" ref="F17">IF(OR($B17="",$C17="",E17=""),"",IF(E17=G17,D17,(INDEX('Emission factors'!$K$3:$V$379,MATCH($B17&amp;$C17,'Emission factors'!$K$3:$K$379&amp;'Emission factors'!$L$3:$L$379,0),MATCH($F$7,'Emission factors'!$K$2:$V$2,0)))*D17))</f>
        <v/>
      </c>
      <c r="G17" s="29" t="str">
        <f t="array" ref="G17">IF(OR($B17="",$D17="",OrganisationalWasteTable[[#This Row],[Units]]=""),"",INDEX('Emission factors'!$K$3:$V$379,MATCH($B17&amp;$C17,'Emission factors'!$K$3:$K$379&amp;'Emission factors'!$L$3:$L$379,0),MATCH($G$7,'Emission factors'!$K$2:$V$2,0)))</f>
        <v/>
      </c>
      <c r="H17" s="233" t="str">
        <f t="array" ref="H17">IF(OR(B17="",C17="",OrganisationalWasteTable[[#This Row],[Data]]=""),"",INDEX('Emission factors'!$K$3:$V$379,MATCH($B17&amp;$C17,'Emission factors'!$K$3:$K$379&amp;'Emission factors'!$L$3:$L$379,0),MATCH($H$7,'Emission factors'!$K$2:$V$2,0)))</f>
        <v/>
      </c>
      <c r="I17" s="32" t="str">
        <f>IF(OR(OrganisationalWasteTable[[#This Row],[Waste type]]="",OrganisationalWasteTable[[#This Row],[Converted data]]=""),"",SUM(OrganisationalWasteTable[[#This Row],[Direct]:[Indirect WTT]]))</f>
        <v/>
      </c>
      <c r="J17" s="122"/>
      <c r="K17" s="217" t="str">
        <f t="array" ref="K17">IF(OR($B17="",$D17="",$F17=""),"",(INDEX('Emission factors'!$K$3:$V$379,MATCH($B17&amp;$C17,'Emission factors'!$K$3:$K$379&amp;'Emission factors'!$L$3:$L$379,0),MATCH(K$7,'Emission factors'!$K$2:$V$2,0)))*$F17)</f>
        <v/>
      </c>
      <c r="L17" s="217" t="str">
        <f t="array" ref="L17">IF(OR($B17="",$D17="",$F17=""),"",(INDEX('Emission factors'!$K$3:$V$379,MATCH($B17&amp;$C17,'Emission factors'!$K$3:$K$379&amp;'Emission factors'!$L$3:$L$379,0),MATCH(L$7,'Emission factors'!$K$2:$V$2,0)))*$F17)</f>
        <v/>
      </c>
      <c r="M17" s="217" t="str">
        <f t="array" ref="M17">IF(OR($B17="",$D17="",$F17=""),"",(INDEX('Emission factors'!$K$3:$V$379,MATCH($B17&amp;$C17,'Emission factors'!$K$3:$K$379&amp;'Emission factors'!$L$3:$L$379,0),MATCH(M$7,'Emission factors'!$K$2:$V$2,0)))*$F17)</f>
        <v/>
      </c>
      <c r="N17" s="217" t="str">
        <f t="array" ref="N17">IF(OR($B17="",$D17="",$F17=""),"",(INDEX('Emission factors'!$K$3:$V$379,MATCH($B17&amp;$C17,'Emission factors'!$K$3:$K$379&amp;'Emission factors'!$L$3:$L$379,0),MATCH(N$7,'Emission factors'!$K$2:$V$2,0)))*$F17)</f>
        <v/>
      </c>
      <c r="O17" s="217" t="str">
        <f t="array" ref="O17">IF(OR($B17="",$D17="",$F17=""),"",(INDEX('Emission factors'!$K$3:$V$379,MATCH($B17&amp;$C17,'Emission factors'!$K$3:$K$379&amp;'Emission factors'!$L$3:$L$379,0),MATCH(O$7,'Emission factors'!$K$2:$V$2,0)))*$F17)</f>
        <v/>
      </c>
      <c r="P17" s="224"/>
      <c r="Q17" s="54"/>
      <c r="U17" s="1"/>
      <c r="V17" s="1"/>
      <c r="W17" s="1"/>
    </row>
    <row r="18" spans="2:23" ht="15.75" thickBot="1" x14ac:dyDescent="0.3">
      <c r="B18" s="126"/>
      <c r="C18" s="123"/>
      <c r="D18" s="120"/>
      <c r="E18" s="123"/>
      <c r="F18" s="32" t="str">
        <f t="array" ref="F18">IF(OR($B18="",$C18="",E18=""),"",IF(E18=G18,D18,(INDEX('Emission factors'!$K$3:$V$379,MATCH($B18&amp;$C18,'Emission factors'!$K$3:$K$379&amp;'Emission factors'!$L$3:$L$379,0),MATCH($F$7,'Emission factors'!$K$2:$V$2,0)))*D18))</f>
        <v/>
      </c>
      <c r="G18" s="29" t="str">
        <f t="array" ref="G18">IF(OR($B18="",$D18="",OrganisationalWasteTable[[#This Row],[Units]]=""),"",INDEX('Emission factors'!$K$3:$V$379,MATCH($B18&amp;$C18,'Emission factors'!$K$3:$K$379&amp;'Emission factors'!$L$3:$L$379,0),MATCH($G$7,'Emission factors'!$K$2:$V$2,0)))</f>
        <v/>
      </c>
      <c r="H18" s="233" t="str">
        <f t="array" ref="H18">IF(OR(B18="",C18="",OrganisationalWasteTable[[#This Row],[Data]]=""),"",INDEX('Emission factors'!$K$3:$V$379,MATCH($B18&amp;$C18,'Emission factors'!$K$3:$K$379&amp;'Emission factors'!$L$3:$L$379,0),MATCH($H$7,'Emission factors'!$K$2:$V$2,0)))</f>
        <v/>
      </c>
      <c r="I18" s="32" t="str">
        <f>IF(OR(OrganisationalWasteTable[[#This Row],[Waste type]]="",OrganisationalWasteTable[[#This Row],[Converted data]]=""),"",SUM(OrganisationalWasteTable[[#This Row],[Direct]:[Indirect WTT]]))</f>
        <v/>
      </c>
      <c r="J18" s="122"/>
      <c r="K18" s="217" t="str">
        <f t="array" ref="K18">IF(OR($B18="",$D18="",$F18=""),"",(INDEX('Emission factors'!$K$3:$V$379,MATCH($B18&amp;$C18,'Emission factors'!$K$3:$K$379&amp;'Emission factors'!$L$3:$L$379,0),MATCH(K$7,'Emission factors'!$K$2:$V$2,0)))*$F18)</f>
        <v/>
      </c>
      <c r="L18" s="217" t="str">
        <f t="array" ref="L18">IF(OR($B18="",$D18="",$F18=""),"",(INDEX('Emission factors'!$K$3:$V$379,MATCH($B18&amp;$C18,'Emission factors'!$K$3:$K$379&amp;'Emission factors'!$L$3:$L$379,0),MATCH(L$7,'Emission factors'!$K$2:$V$2,0)))*$F18)</f>
        <v/>
      </c>
      <c r="M18" s="217" t="str">
        <f t="array" ref="M18">IF(OR($B18="",$D18="",$F18=""),"",(INDEX('Emission factors'!$K$3:$V$379,MATCH($B18&amp;$C18,'Emission factors'!$K$3:$K$379&amp;'Emission factors'!$L$3:$L$379,0),MATCH(M$7,'Emission factors'!$K$2:$V$2,0)))*$F18)</f>
        <v/>
      </c>
      <c r="N18" s="217" t="str">
        <f t="array" ref="N18">IF(OR($B18="",$D18="",$F18=""),"",(INDEX('Emission factors'!$K$3:$V$379,MATCH($B18&amp;$C18,'Emission factors'!$K$3:$K$379&amp;'Emission factors'!$L$3:$L$379,0),MATCH(N$7,'Emission factors'!$K$2:$V$2,0)))*$F18)</f>
        <v/>
      </c>
      <c r="O18" s="217" t="str">
        <f t="array" ref="O18">IF(OR($B18="",$D18="",$F18=""),"",(INDEX('Emission factors'!$K$3:$V$379,MATCH($B18&amp;$C18,'Emission factors'!$K$3:$K$379&amp;'Emission factors'!$L$3:$L$379,0),MATCH(O$7,'Emission factors'!$K$2:$V$2,0)))*$F18)</f>
        <v/>
      </c>
      <c r="P18" s="224"/>
      <c r="Q18" s="54"/>
      <c r="U18" s="1"/>
      <c r="V18" s="1"/>
      <c r="W18" s="1"/>
    </row>
    <row r="19" spans="2:23" ht="15.75" thickBot="1" x14ac:dyDescent="0.3">
      <c r="B19" s="126"/>
      <c r="C19" s="123"/>
      <c r="D19" s="120"/>
      <c r="E19" s="123"/>
      <c r="F19" s="32" t="str">
        <f t="array" ref="F19">IF(OR($B19="",$C19="",E19=""),"",IF(E19=G19,D19,(INDEX('Emission factors'!$K$3:$V$379,MATCH($B19&amp;$C19,'Emission factors'!$K$3:$K$379&amp;'Emission factors'!$L$3:$L$379,0),MATCH($F$7,'Emission factors'!$K$2:$V$2,0)))*D19))</f>
        <v/>
      </c>
      <c r="G19" s="29" t="str">
        <f t="array" ref="G19">IF(OR($B19="",$D19="",OrganisationalWasteTable[[#This Row],[Units]]=""),"",INDEX('Emission factors'!$K$3:$V$379,MATCH($B19&amp;$C19,'Emission factors'!$K$3:$K$379&amp;'Emission factors'!$L$3:$L$379,0),MATCH($G$7,'Emission factors'!$K$2:$V$2,0)))</f>
        <v/>
      </c>
      <c r="H19" s="233" t="str">
        <f t="array" ref="H19">IF(OR(B19="",C19="",OrganisationalWasteTable[[#This Row],[Data]]=""),"",INDEX('Emission factors'!$K$3:$V$379,MATCH($B19&amp;$C19,'Emission factors'!$K$3:$K$379&amp;'Emission factors'!$L$3:$L$379,0),MATCH($H$7,'Emission factors'!$K$2:$V$2,0)))</f>
        <v/>
      </c>
      <c r="I19" s="32" t="str">
        <f>IF(OR(OrganisationalWasteTable[[#This Row],[Waste type]]="",OrganisationalWasteTable[[#This Row],[Converted data]]=""),"",SUM(OrganisationalWasteTable[[#This Row],[Direct]:[Indirect WTT]]))</f>
        <v/>
      </c>
      <c r="J19" s="122"/>
      <c r="K19" s="217" t="str">
        <f t="array" ref="K19">IF(OR($B19="",$D19="",$F19=""),"",(INDEX('Emission factors'!$K$3:$V$379,MATCH($B19&amp;$C19,'Emission factors'!$K$3:$K$379&amp;'Emission factors'!$L$3:$L$379,0),MATCH(K$7,'Emission factors'!$K$2:$V$2,0)))*$F19)</f>
        <v/>
      </c>
      <c r="L19" s="217" t="str">
        <f t="array" ref="L19">IF(OR($B19="",$D19="",$F19=""),"",(INDEX('Emission factors'!$K$3:$V$379,MATCH($B19&amp;$C19,'Emission factors'!$K$3:$K$379&amp;'Emission factors'!$L$3:$L$379,0),MATCH(L$7,'Emission factors'!$K$2:$V$2,0)))*$F19)</f>
        <v/>
      </c>
      <c r="M19" s="217" t="str">
        <f t="array" ref="M19">IF(OR($B19="",$D19="",$F19=""),"",(INDEX('Emission factors'!$K$3:$V$379,MATCH($B19&amp;$C19,'Emission factors'!$K$3:$K$379&amp;'Emission factors'!$L$3:$L$379,0),MATCH(M$7,'Emission factors'!$K$2:$V$2,0)))*$F19)</f>
        <v/>
      </c>
      <c r="N19" s="217" t="str">
        <f t="array" ref="N19">IF(OR($B19="",$D19="",$F19=""),"",(INDEX('Emission factors'!$K$3:$V$379,MATCH($B19&amp;$C19,'Emission factors'!$K$3:$K$379&amp;'Emission factors'!$L$3:$L$379,0),MATCH(N$7,'Emission factors'!$K$2:$V$2,0)))*$F19)</f>
        <v/>
      </c>
      <c r="O19" s="217" t="str">
        <f t="array" ref="O19">IF(OR($B19="",$D19="",$F19=""),"",(INDEX('Emission factors'!$K$3:$V$379,MATCH($B19&amp;$C19,'Emission factors'!$K$3:$K$379&amp;'Emission factors'!$L$3:$L$379,0),MATCH(O$7,'Emission factors'!$K$2:$V$2,0)))*$F19)</f>
        <v/>
      </c>
      <c r="P19" s="224"/>
      <c r="Q19" s="54"/>
      <c r="U19" s="1"/>
      <c r="V19" s="1"/>
      <c r="W19" s="1"/>
    </row>
    <row r="20" spans="2:23" ht="15.75" thickBot="1" x14ac:dyDescent="0.3">
      <c r="B20" s="126"/>
      <c r="C20" s="123"/>
      <c r="D20" s="120"/>
      <c r="E20" s="123"/>
      <c r="F20" s="32" t="str">
        <f t="array" ref="F20">IF(OR($B20="",$C20="",E20=""),"",IF(E20=G20,D20,(INDEX('Emission factors'!$K$3:$V$379,MATCH($B20&amp;$C20,'Emission factors'!$K$3:$K$379&amp;'Emission factors'!$L$3:$L$379,0),MATCH($F$7,'Emission factors'!$K$2:$V$2,0)))*D20))</f>
        <v/>
      </c>
      <c r="G20" s="29" t="str">
        <f t="array" ref="G20">IF(OR($B20="",$D20="",OrganisationalWasteTable[[#This Row],[Units]]=""),"",INDEX('Emission factors'!$K$3:$V$379,MATCH($B20&amp;$C20,'Emission factors'!$K$3:$K$379&amp;'Emission factors'!$L$3:$L$379,0),MATCH($G$7,'Emission factors'!$K$2:$V$2,0)))</f>
        <v/>
      </c>
      <c r="H20" s="233" t="str">
        <f t="array" ref="H20">IF(OR(B20="",C20="",OrganisationalWasteTable[[#This Row],[Data]]=""),"",INDEX('Emission factors'!$K$3:$V$379,MATCH($B20&amp;$C20,'Emission factors'!$K$3:$K$379&amp;'Emission factors'!$L$3:$L$379,0),MATCH($H$7,'Emission factors'!$K$2:$V$2,0)))</f>
        <v/>
      </c>
      <c r="I20" s="32" t="str">
        <f>IF(OR(OrganisationalWasteTable[[#This Row],[Waste type]]="",OrganisationalWasteTable[[#This Row],[Converted data]]=""),"",SUM(OrganisationalWasteTable[[#This Row],[Direct]:[Indirect WTT]]))</f>
        <v/>
      </c>
      <c r="J20" s="122"/>
      <c r="K20" s="217" t="str">
        <f t="array" ref="K20">IF(OR($B20="",$D20="",$F20=""),"",(INDEX('Emission factors'!$K$3:$V$379,MATCH($B20&amp;$C20,'Emission factors'!$K$3:$K$379&amp;'Emission factors'!$L$3:$L$379,0),MATCH(K$7,'Emission factors'!$K$2:$V$2,0)))*$F20)</f>
        <v/>
      </c>
      <c r="L20" s="217" t="str">
        <f t="array" ref="L20">IF(OR($B20="",$D20="",$F20=""),"",(INDEX('Emission factors'!$K$3:$V$379,MATCH($B20&amp;$C20,'Emission factors'!$K$3:$K$379&amp;'Emission factors'!$L$3:$L$379,0),MATCH(L$7,'Emission factors'!$K$2:$V$2,0)))*$F20)</f>
        <v/>
      </c>
      <c r="M20" s="217" t="str">
        <f t="array" ref="M20">IF(OR($B20="",$D20="",$F20=""),"",(INDEX('Emission factors'!$K$3:$V$379,MATCH($B20&amp;$C20,'Emission factors'!$K$3:$K$379&amp;'Emission factors'!$L$3:$L$379,0),MATCH(M$7,'Emission factors'!$K$2:$V$2,0)))*$F20)</f>
        <v/>
      </c>
      <c r="N20" s="217" t="str">
        <f t="array" ref="N20">IF(OR($B20="",$D20="",$F20=""),"",(INDEX('Emission factors'!$K$3:$V$379,MATCH($B20&amp;$C20,'Emission factors'!$K$3:$K$379&amp;'Emission factors'!$L$3:$L$379,0),MATCH(N$7,'Emission factors'!$K$2:$V$2,0)))*$F20)</f>
        <v/>
      </c>
      <c r="O20" s="217" t="str">
        <f t="array" ref="O20">IF(OR($B20="",$D20="",$F20=""),"",(INDEX('Emission factors'!$K$3:$V$379,MATCH($B20&amp;$C20,'Emission factors'!$K$3:$K$379&amp;'Emission factors'!$L$3:$L$379,0),MATCH(O$7,'Emission factors'!$K$2:$V$2,0)))*$F20)</f>
        <v/>
      </c>
      <c r="P20" s="224"/>
      <c r="Q20" s="54"/>
      <c r="U20" s="1"/>
      <c r="V20" s="1"/>
      <c r="W20" s="1"/>
    </row>
    <row r="21" spans="2:23" ht="15.75" thickBot="1" x14ac:dyDescent="0.3">
      <c r="B21" s="126"/>
      <c r="C21" s="123"/>
      <c r="D21" s="120"/>
      <c r="E21" s="123"/>
      <c r="F21" s="32" t="str">
        <f t="array" ref="F21">IF(OR($B21="",$C21="",E21=""),"",IF(E21=G21,D21,(INDEX('Emission factors'!$K$3:$V$379,MATCH($B21&amp;$C21,'Emission factors'!$K$3:$K$379&amp;'Emission factors'!$L$3:$L$379,0),MATCH($F$7,'Emission factors'!$K$2:$V$2,0)))*D21))</f>
        <v/>
      </c>
      <c r="G21" s="29" t="str">
        <f t="array" ref="G21">IF(OR($B21="",$D21="",OrganisationalWasteTable[[#This Row],[Units]]=""),"",INDEX('Emission factors'!$K$3:$V$379,MATCH($B21&amp;$C21,'Emission factors'!$K$3:$K$379&amp;'Emission factors'!$L$3:$L$379,0),MATCH($G$7,'Emission factors'!$K$2:$V$2,0)))</f>
        <v/>
      </c>
      <c r="H21" s="233" t="str">
        <f t="array" ref="H21">IF(OR(B21="",C21="",OrganisationalWasteTable[[#This Row],[Data]]=""),"",INDEX('Emission factors'!$K$3:$V$379,MATCH($B21&amp;$C21,'Emission factors'!$K$3:$K$379&amp;'Emission factors'!$L$3:$L$379,0),MATCH($H$7,'Emission factors'!$K$2:$V$2,0)))</f>
        <v/>
      </c>
      <c r="I21" s="32" t="str">
        <f>IF(OR(OrganisationalWasteTable[[#This Row],[Waste type]]="",OrganisationalWasteTable[[#This Row],[Converted data]]=""),"",SUM(OrganisationalWasteTable[[#This Row],[Direct]:[Indirect WTT]]))</f>
        <v/>
      </c>
      <c r="J21" s="122"/>
      <c r="K21" s="217" t="str">
        <f t="array" ref="K21">IF(OR($B21="",$D21="",$F21=""),"",(INDEX('Emission factors'!$K$3:$V$379,MATCH($B21&amp;$C21,'Emission factors'!$K$3:$K$379&amp;'Emission factors'!$L$3:$L$379,0),MATCH(K$7,'Emission factors'!$K$2:$V$2,0)))*$F21)</f>
        <v/>
      </c>
      <c r="L21" s="217" t="str">
        <f t="array" ref="L21">IF(OR($B21="",$D21="",$F21=""),"",(INDEX('Emission factors'!$K$3:$V$379,MATCH($B21&amp;$C21,'Emission factors'!$K$3:$K$379&amp;'Emission factors'!$L$3:$L$379,0),MATCH(L$7,'Emission factors'!$K$2:$V$2,0)))*$F21)</f>
        <v/>
      </c>
      <c r="M21" s="217" t="str">
        <f t="array" ref="M21">IF(OR($B21="",$D21="",$F21=""),"",(INDEX('Emission factors'!$K$3:$V$379,MATCH($B21&amp;$C21,'Emission factors'!$K$3:$K$379&amp;'Emission factors'!$L$3:$L$379,0),MATCH(M$7,'Emission factors'!$K$2:$V$2,0)))*$F21)</f>
        <v/>
      </c>
      <c r="N21" s="217" t="str">
        <f t="array" ref="N21">IF(OR($B21="",$D21="",$F21=""),"",(INDEX('Emission factors'!$K$3:$V$379,MATCH($B21&amp;$C21,'Emission factors'!$K$3:$K$379&amp;'Emission factors'!$L$3:$L$379,0),MATCH(N$7,'Emission factors'!$K$2:$V$2,0)))*$F21)</f>
        <v/>
      </c>
      <c r="O21" s="217" t="str">
        <f t="array" ref="O21">IF(OR($B21="",$D21="",$F21=""),"",(INDEX('Emission factors'!$K$3:$V$379,MATCH($B21&amp;$C21,'Emission factors'!$K$3:$K$379&amp;'Emission factors'!$L$3:$L$379,0),MATCH(O$7,'Emission factors'!$K$2:$V$2,0)))*$F21)</f>
        <v/>
      </c>
      <c r="P21" s="224"/>
      <c r="Q21" s="54"/>
      <c r="U21" s="1"/>
      <c r="V21" s="1"/>
      <c r="W21" s="1"/>
    </row>
    <row r="22" spans="2:23" ht="15.75" thickBot="1" x14ac:dyDescent="0.3">
      <c r="B22" s="126"/>
      <c r="C22" s="123"/>
      <c r="D22" s="120"/>
      <c r="E22" s="123"/>
      <c r="F22" s="32" t="str">
        <f t="array" ref="F22">IF(OR($B22="",$C22="",E22=""),"",IF(E22=G22,D22,(INDEX('Emission factors'!$K$3:$V$379,MATCH($B22&amp;$C22,'Emission factors'!$K$3:$K$379&amp;'Emission factors'!$L$3:$L$379,0),MATCH($F$7,'Emission factors'!$K$2:$V$2,0)))*D22))</f>
        <v/>
      </c>
      <c r="G22" s="29" t="str">
        <f t="array" ref="G22">IF(OR($B22="",$D22="",OrganisationalWasteTable[[#This Row],[Units]]=""),"",INDEX('Emission factors'!$K$3:$V$379,MATCH($B22&amp;$C22,'Emission factors'!$K$3:$K$379&amp;'Emission factors'!$L$3:$L$379,0),MATCH($G$7,'Emission factors'!$K$2:$V$2,0)))</f>
        <v/>
      </c>
      <c r="H22" s="233" t="str">
        <f t="array" ref="H22">IF(OR(B22="",C22="",OrganisationalWasteTable[[#This Row],[Data]]=""),"",INDEX('Emission factors'!$K$3:$V$379,MATCH($B22&amp;$C22,'Emission factors'!$K$3:$K$379&amp;'Emission factors'!$L$3:$L$379,0),MATCH($H$7,'Emission factors'!$K$2:$V$2,0)))</f>
        <v/>
      </c>
      <c r="I22" s="32" t="str">
        <f>IF(OR(OrganisationalWasteTable[[#This Row],[Waste type]]="",OrganisationalWasteTable[[#This Row],[Converted data]]=""),"",SUM(OrganisationalWasteTable[[#This Row],[Direct]:[Indirect WTT]]))</f>
        <v/>
      </c>
      <c r="J22" s="122"/>
      <c r="K22" s="217" t="str">
        <f t="array" ref="K22">IF(OR($B22="",$D22="",$F22=""),"",(INDEX('Emission factors'!$K$3:$V$379,MATCH($B22&amp;$C22,'Emission factors'!$K$3:$K$379&amp;'Emission factors'!$L$3:$L$379,0),MATCH(K$7,'Emission factors'!$K$2:$V$2,0)))*$F22)</f>
        <v/>
      </c>
      <c r="L22" s="217" t="str">
        <f t="array" ref="L22">IF(OR($B22="",$D22="",$F22=""),"",(INDEX('Emission factors'!$K$3:$V$379,MATCH($B22&amp;$C22,'Emission factors'!$K$3:$K$379&amp;'Emission factors'!$L$3:$L$379,0),MATCH(L$7,'Emission factors'!$K$2:$V$2,0)))*$F22)</f>
        <v/>
      </c>
      <c r="M22" s="217" t="str">
        <f t="array" ref="M22">IF(OR($B22="",$D22="",$F22=""),"",(INDEX('Emission factors'!$K$3:$V$379,MATCH($B22&amp;$C22,'Emission factors'!$K$3:$K$379&amp;'Emission factors'!$L$3:$L$379,0),MATCH(M$7,'Emission factors'!$K$2:$V$2,0)))*$F22)</f>
        <v/>
      </c>
      <c r="N22" s="217" t="str">
        <f t="array" ref="N22">IF(OR($B22="",$D22="",$F22=""),"",(INDEX('Emission factors'!$K$3:$V$379,MATCH($B22&amp;$C22,'Emission factors'!$K$3:$K$379&amp;'Emission factors'!$L$3:$L$379,0),MATCH(N$7,'Emission factors'!$K$2:$V$2,0)))*$F22)</f>
        <v/>
      </c>
      <c r="O22" s="217" t="str">
        <f t="array" ref="O22">IF(OR($B22="",$D22="",$F22=""),"",(INDEX('Emission factors'!$K$3:$V$379,MATCH($B22&amp;$C22,'Emission factors'!$K$3:$K$379&amp;'Emission factors'!$L$3:$L$379,0),MATCH(O$7,'Emission factors'!$K$2:$V$2,0)))*$F22)</f>
        <v/>
      </c>
      <c r="P22" s="224"/>
      <c r="Q22" s="54"/>
      <c r="U22" s="1"/>
      <c r="V22" s="1"/>
      <c r="W22" s="1"/>
    </row>
    <row r="23" spans="2:23" ht="15.75" thickBot="1" x14ac:dyDescent="0.3">
      <c r="B23" s="126"/>
      <c r="C23" s="123"/>
      <c r="D23" s="120"/>
      <c r="E23" s="123"/>
      <c r="F23" s="32" t="str">
        <f t="array" ref="F23">IF(OR($B23="",$C23="",E23=""),"",IF(E23=G23,D23,(INDEX('Emission factors'!$K$3:$V$379,MATCH($B23&amp;$C23,'Emission factors'!$K$3:$K$379&amp;'Emission factors'!$L$3:$L$379,0),MATCH($F$7,'Emission factors'!$K$2:$V$2,0)))*D23))</f>
        <v/>
      </c>
      <c r="G23" s="29" t="str">
        <f t="array" ref="G23">IF(OR($B23="",$D23="",OrganisationalWasteTable[[#This Row],[Units]]=""),"",INDEX('Emission factors'!$K$3:$V$379,MATCH($B23&amp;$C23,'Emission factors'!$K$3:$K$379&amp;'Emission factors'!$L$3:$L$379,0),MATCH($G$7,'Emission factors'!$K$2:$V$2,0)))</f>
        <v/>
      </c>
      <c r="H23" s="233" t="str">
        <f t="array" ref="H23">IF(OR(B23="",C23="",OrganisationalWasteTable[[#This Row],[Data]]=""),"",INDEX('Emission factors'!$K$3:$V$379,MATCH($B23&amp;$C23,'Emission factors'!$K$3:$K$379&amp;'Emission factors'!$L$3:$L$379,0),MATCH($H$7,'Emission factors'!$K$2:$V$2,0)))</f>
        <v/>
      </c>
      <c r="I23" s="32" t="str">
        <f>IF(OR(OrganisationalWasteTable[[#This Row],[Waste type]]="",OrganisationalWasteTable[[#This Row],[Converted data]]=""),"",SUM(OrganisationalWasteTable[[#This Row],[Direct]:[Indirect WTT]]))</f>
        <v/>
      </c>
      <c r="J23" s="122"/>
      <c r="K23" s="217" t="str">
        <f t="array" ref="K23">IF(OR($B23="",$D23="",$F23=""),"",(INDEX('Emission factors'!$K$3:$V$379,MATCH($B23&amp;$C23,'Emission factors'!$K$3:$K$379&amp;'Emission factors'!$L$3:$L$379,0),MATCH(K$7,'Emission factors'!$K$2:$V$2,0)))*$F23)</f>
        <v/>
      </c>
      <c r="L23" s="217" t="str">
        <f t="array" ref="L23">IF(OR($B23="",$D23="",$F23=""),"",(INDEX('Emission factors'!$K$3:$V$379,MATCH($B23&amp;$C23,'Emission factors'!$K$3:$K$379&amp;'Emission factors'!$L$3:$L$379,0),MATCH(L$7,'Emission factors'!$K$2:$V$2,0)))*$F23)</f>
        <v/>
      </c>
      <c r="M23" s="217" t="str">
        <f t="array" ref="M23">IF(OR($B23="",$D23="",$F23=""),"",(INDEX('Emission factors'!$K$3:$V$379,MATCH($B23&amp;$C23,'Emission factors'!$K$3:$K$379&amp;'Emission factors'!$L$3:$L$379,0),MATCH(M$7,'Emission factors'!$K$2:$V$2,0)))*$F23)</f>
        <v/>
      </c>
      <c r="N23" s="217" t="str">
        <f t="array" ref="N23">IF(OR($B23="",$D23="",$F23=""),"",(INDEX('Emission factors'!$K$3:$V$379,MATCH($B23&amp;$C23,'Emission factors'!$K$3:$K$379&amp;'Emission factors'!$L$3:$L$379,0),MATCH(N$7,'Emission factors'!$K$2:$V$2,0)))*$F23)</f>
        <v/>
      </c>
      <c r="O23" s="217" t="str">
        <f t="array" ref="O23">IF(OR($B23="",$D23="",$F23=""),"",(INDEX('Emission factors'!$K$3:$V$379,MATCH($B23&amp;$C23,'Emission factors'!$K$3:$K$379&amp;'Emission factors'!$L$3:$L$379,0),MATCH(O$7,'Emission factors'!$K$2:$V$2,0)))*$F23)</f>
        <v/>
      </c>
      <c r="P23" s="224"/>
      <c r="Q23" s="54"/>
      <c r="U23" s="1"/>
      <c r="V23" s="1"/>
      <c r="W23" s="1"/>
    </row>
    <row r="24" spans="2:23" ht="15.75" thickBot="1" x14ac:dyDescent="0.3">
      <c r="B24" s="126"/>
      <c r="C24" s="123"/>
      <c r="D24" s="120"/>
      <c r="E24" s="123"/>
      <c r="F24" s="32" t="str">
        <f t="array" ref="F24">IF(OR($B24="",$C24="",E24=""),"",IF(E24=G24,D24,(INDEX('Emission factors'!$K$3:$V$379,MATCH($B24&amp;$C24,'Emission factors'!$K$3:$K$379&amp;'Emission factors'!$L$3:$L$379,0),MATCH($F$7,'Emission factors'!$K$2:$V$2,0)))*D24))</f>
        <v/>
      </c>
      <c r="G24" s="29" t="str">
        <f t="array" ref="G24">IF(OR($B24="",$D24="",OrganisationalWasteTable[[#This Row],[Units]]=""),"",INDEX('Emission factors'!$K$3:$V$379,MATCH($B24&amp;$C24,'Emission factors'!$K$3:$K$379&amp;'Emission factors'!$L$3:$L$379,0),MATCH($G$7,'Emission factors'!$K$2:$V$2,0)))</f>
        <v/>
      </c>
      <c r="H24" s="233" t="str">
        <f t="array" ref="H24">IF(OR(B24="",C24="",OrganisationalWasteTable[[#This Row],[Data]]=""),"",INDEX('Emission factors'!$K$3:$V$379,MATCH($B24&amp;$C24,'Emission factors'!$K$3:$K$379&amp;'Emission factors'!$L$3:$L$379,0),MATCH($H$7,'Emission factors'!$K$2:$V$2,0)))</f>
        <v/>
      </c>
      <c r="I24" s="32" t="str">
        <f>IF(OR(OrganisationalWasteTable[[#This Row],[Waste type]]="",OrganisationalWasteTable[[#This Row],[Converted data]]=""),"",SUM(OrganisationalWasteTable[[#This Row],[Direct]:[Indirect WTT]]))</f>
        <v/>
      </c>
      <c r="J24" s="122"/>
      <c r="K24" s="217" t="str">
        <f t="array" ref="K24">IF(OR($B24="",$D24="",$F24=""),"",(INDEX('Emission factors'!$K$3:$V$379,MATCH($B24&amp;$C24,'Emission factors'!$K$3:$K$379&amp;'Emission factors'!$L$3:$L$379,0),MATCH(K$7,'Emission factors'!$K$2:$V$2,0)))*$F24)</f>
        <v/>
      </c>
      <c r="L24" s="217" t="str">
        <f t="array" ref="L24">IF(OR($B24="",$D24="",$F24=""),"",(INDEX('Emission factors'!$K$3:$V$379,MATCH($B24&amp;$C24,'Emission factors'!$K$3:$K$379&amp;'Emission factors'!$L$3:$L$379,0),MATCH(L$7,'Emission factors'!$K$2:$V$2,0)))*$F24)</f>
        <v/>
      </c>
      <c r="M24" s="217" t="str">
        <f t="array" ref="M24">IF(OR($B24="",$D24="",$F24=""),"",(INDEX('Emission factors'!$K$3:$V$379,MATCH($B24&amp;$C24,'Emission factors'!$K$3:$K$379&amp;'Emission factors'!$L$3:$L$379,0),MATCH(M$7,'Emission factors'!$K$2:$V$2,0)))*$F24)</f>
        <v/>
      </c>
      <c r="N24" s="217" t="str">
        <f t="array" ref="N24">IF(OR($B24="",$D24="",$F24=""),"",(INDEX('Emission factors'!$K$3:$V$379,MATCH($B24&amp;$C24,'Emission factors'!$K$3:$K$379&amp;'Emission factors'!$L$3:$L$379,0),MATCH(N$7,'Emission factors'!$K$2:$V$2,0)))*$F24)</f>
        <v/>
      </c>
      <c r="O24" s="217" t="str">
        <f t="array" ref="O24">IF(OR($B24="",$D24="",$F24=""),"",(INDEX('Emission factors'!$K$3:$V$379,MATCH($B24&amp;$C24,'Emission factors'!$K$3:$K$379&amp;'Emission factors'!$L$3:$L$379,0),MATCH(O$7,'Emission factors'!$K$2:$V$2,0)))*$F24)</f>
        <v/>
      </c>
      <c r="P24" s="224"/>
      <c r="Q24" s="54"/>
      <c r="U24" s="1"/>
      <c r="V24" s="1"/>
      <c r="W24" s="1"/>
    </row>
    <row r="25" spans="2:23" ht="15.75" thickBot="1" x14ac:dyDescent="0.3">
      <c r="B25" s="126"/>
      <c r="C25" s="123"/>
      <c r="D25" s="120"/>
      <c r="E25" s="123"/>
      <c r="F25" s="32" t="str">
        <f t="array" ref="F25">IF(OR($B25="",$C25="",E25=""),"",IF(E25=G25,D25,(INDEX('Emission factors'!$K$3:$V$379,MATCH($B25&amp;$C25,'Emission factors'!$K$3:$K$379&amp;'Emission factors'!$L$3:$L$379,0),MATCH($F$7,'Emission factors'!$K$2:$V$2,0)))*D25))</f>
        <v/>
      </c>
      <c r="G25" s="29" t="str">
        <f t="array" ref="G25">IF(OR($B25="",$D25="",OrganisationalWasteTable[[#This Row],[Units]]=""),"",INDEX('Emission factors'!$K$3:$V$379,MATCH($B25&amp;$C25,'Emission factors'!$K$3:$K$379&amp;'Emission factors'!$L$3:$L$379,0),MATCH($G$7,'Emission factors'!$K$2:$V$2,0)))</f>
        <v/>
      </c>
      <c r="H25" s="233" t="str">
        <f t="array" ref="H25">IF(OR(B25="",C25="",OrganisationalWasteTable[[#This Row],[Data]]=""),"",INDEX('Emission factors'!$K$3:$V$379,MATCH($B25&amp;$C25,'Emission factors'!$K$3:$K$379&amp;'Emission factors'!$L$3:$L$379,0),MATCH($H$7,'Emission factors'!$K$2:$V$2,0)))</f>
        <v/>
      </c>
      <c r="I25" s="32" t="str">
        <f>IF(OR(OrganisationalWasteTable[[#This Row],[Waste type]]="",OrganisationalWasteTable[[#This Row],[Converted data]]=""),"",SUM(OrganisationalWasteTable[[#This Row],[Direct]:[Indirect WTT]]))</f>
        <v/>
      </c>
      <c r="J25" s="122"/>
      <c r="K25" s="217" t="str">
        <f t="array" ref="K25">IF(OR($B25="",$D25="",$F25=""),"",(INDEX('Emission factors'!$K$3:$V$379,MATCH($B25&amp;$C25,'Emission factors'!$K$3:$K$379&amp;'Emission factors'!$L$3:$L$379,0),MATCH(K$7,'Emission factors'!$K$2:$V$2,0)))*$F25)</f>
        <v/>
      </c>
      <c r="L25" s="217" t="str">
        <f t="array" ref="L25">IF(OR($B25="",$D25="",$F25=""),"",(INDEX('Emission factors'!$K$3:$V$379,MATCH($B25&amp;$C25,'Emission factors'!$K$3:$K$379&amp;'Emission factors'!$L$3:$L$379,0),MATCH(L$7,'Emission factors'!$K$2:$V$2,0)))*$F25)</f>
        <v/>
      </c>
      <c r="M25" s="217" t="str">
        <f t="array" ref="M25">IF(OR($B25="",$D25="",$F25=""),"",(INDEX('Emission factors'!$K$3:$V$379,MATCH($B25&amp;$C25,'Emission factors'!$K$3:$K$379&amp;'Emission factors'!$L$3:$L$379,0),MATCH(M$7,'Emission factors'!$K$2:$V$2,0)))*$F25)</f>
        <v/>
      </c>
      <c r="N25" s="217" t="str">
        <f t="array" ref="N25">IF(OR($B25="",$D25="",$F25=""),"",(INDEX('Emission factors'!$K$3:$V$379,MATCH($B25&amp;$C25,'Emission factors'!$K$3:$K$379&amp;'Emission factors'!$L$3:$L$379,0),MATCH(N$7,'Emission factors'!$K$2:$V$2,0)))*$F25)</f>
        <v/>
      </c>
      <c r="O25" s="217" t="str">
        <f t="array" ref="O25">IF(OR($B25="",$D25="",$F25=""),"",(INDEX('Emission factors'!$K$3:$V$379,MATCH($B25&amp;$C25,'Emission factors'!$K$3:$K$379&amp;'Emission factors'!$L$3:$L$379,0),MATCH(O$7,'Emission factors'!$K$2:$V$2,0)))*$F25)</f>
        <v/>
      </c>
      <c r="P25" s="224"/>
      <c r="Q25" s="54"/>
      <c r="U25" s="1"/>
      <c r="V25" s="1"/>
      <c r="W25" s="1"/>
    </row>
    <row r="26" spans="2:23" ht="15.75" thickBot="1" x14ac:dyDescent="0.3">
      <c r="B26" s="126"/>
      <c r="C26" s="123"/>
      <c r="D26" s="120"/>
      <c r="E26" s="123"/>
      <c r="F26" s="32" t="str">
        <f t="array" ref="F26">IF(OR($B26="",$C26="",E26=""),"",IF(E26=G26,D26,(INDEX('Emission factors'!$K$3:$V$379,MATCH($B26&amp;$C26,'Emission factors'!$K$3:$K$379&amp;'Emission factors'!$L$3:$L$379,0),MATCH($F$7,'Emission factors'!$K$2:$V$2,0)))*D26))</f>
        <v/>
      </c>
      <c r="G26" s="29" t="str">
        <f t="array" ref="G26">IF(OR($B26="",$D26="",OrganisationalWasteTable[[#This Row],[Units]]=""),"",INDEX('Emission factors'!$K$3:$V$379,MATCH($B26&amp;$C26,'Emission factors'!$K$3:$K$379&amp;'Emission factors'!$L$3:$L$379,0),MATCH($G$7,'Emission factors'!$K$2:$V$2,0)))</f>
        <v/>
      </c>
      <c r="H26" s="233" t="str">
        <f t="array" ref="H26">IF(OR(B26="",C26="",OrganisationalWasteTable[[#This Row],[Data]]=""),"",INDEX('Emission factors'!$K$3:$V$379,MATCH($B26&amp;$C26,'Emission factors'!$K$3:$K$379&amp;'Emission factors'!$L$3:$L$379,0),MATCH($H$7,'Emission factors'!$K$2:$V$2,0)))</f>
        <v/>
      </c>
      <c r="I26" s="32" t="str">
        <f>IF(OR(OrganisationalWasteTable[[#This Row],[Waste type]]="",OrganisationalWasteTable[[#This Row],[Converted data]]=""),"",SUM(OrganisationalWasteTable[[#This Row],[Direct]:[Indirect WTT]]))</f>
        <v/>
      </c>
      <c r="J26" s="122"/>
      <c r="K26" s="217" t="str">
        <f t="array" ref="K26">IF(OR($B26="",$D26="",$F26=""),"",(INDEX('Emission factors'!$K$3:$V$379,MATCH($B26&amp;$C26,'Emission factors'!$K$3:$K$379&amp;'Emission factors'!$L$3:$L$379,0),MATCH(K$7,'Emission factors'!$K$2:$V$2,0)))*$F26)</f>
        <v/>
      </c>
      <c r="L26" s="217" t="str">
        <f t="array" ref="L26">IF(OR($B26="",$D26="",$F26=""),"",(INDEX('Emission factors'!$K$3:$V$379,MATCH($B26&amp;$C26,'Emission factors'!$K$3:$K$379&amp;'Emission factors'!$L$3:$L$379,0),MATCH(L$7,'Emission factors'!$K$2:$V$2,0)))*$F26)</f>
        <v/>
      </c>
      <c r="M26" s="217" t="str">
        <f t="array" ref="M26">IF(OR($B26="",$D26="",$F26=""),"",(INDEX('Emission factors'!$K$3:$V$379,MATCH($B26&amp;$C26,'Emission factors'!$K$3:$K$379&amp;'Emission factors'!$L$3:$L$379,0),MATCH(M$7,'Emission factors'!$K$2:$V$2,0)))*$F26)</f>
        <v/>
      </c>
      <c r="N26" s="217" t="str">
        <f t="array" ref="N26">IF(OR($B26="",$D26="",$F26=""),"",(INDEX('Emission factors'!$K$3:$V$379,MATCH($B26&amp;$C26,'Emission factors'!$K$3:$K$379&amp;'Emission factors'!$L$3:$L$379,0),MATCH(N$7,'Emission factors'!$K$2:$V$2,0)))*$F26)</f>
        <v/>
      </c>
      <c r="O26" s="217" t="str">
        <f t="array" ref="O26">IF(OR($B26="",$D26="",$F26=""),"",(INDEX('Emission factors'!$K$3:$V$379,MATCH($B26&amp;$C26,'Emission factors'!$K$3:$K$379&amp;'Emission factors'!$L$3:$L$379,0),MATCH(O$7,'Emission factors'!$K$2:$V$2,0)))*$F26)</f>
        <v/>
      </c>
      <c r="P26" s="224"/>
      <c r="Q26" s="54"/>
      <c r="U26" s="1"/>
      <c r="V26" s="1"/>
      <c r="W26" s="1"/>
    </row>
    <row r="27" spans="2:23" ht="15.75" thickBot="1" x14ac:dyDescent="0.3">
      <c r="B27" s="126"/>
      <c r="C27" s="123"/>
      <c r="D27" s="120"/>
      <c r="E27" s="123"/>
      <c r="F27" s="32" t="str">
        <f t="array" ref="F27">IF(OR($B27="",$C27="",E27=""),"",IF(E27=G27,D27,(INDEX('Emission factors'!$K$3:$V$379,MATCH($B27&amp;$C27,'Emission factors'!$K$3:$K$379&amp;'Emission factors'!$L$3:$L$379,0),MATCH($F$7,'Emission factors'!$K$2:$V$2,0)))*D27))</f>
        <v/>
      </c>
      <c r="G27" s="29" t="str">
        <f t="array" ref="G27">IF(OR($B27="",$D27="",OrganisationalWasteTable[[#This Row],[Units]]=""),"",INDEX('Emission factors'!$K$3:$V$379,MATCH($B27&amp;$C27,'Emission factors'!$K$3:$K$379&amp;'Emission factors'!$L$3:$L$379,0),MATCH($G$7,'Emission factors'!$K$2:$V$2,0)))</f>
        <v/>
      </c>
      <c r="H27" s="233" t="str">
        <f t="array" ref="H27">IF(OR(B27="",C27="",OrganisationalWasteTable[[#This Row],[Data]]=""),"",INDEX('Emission factors'!$K$3:$V$379,MATCH($B27&amp;$C27,'Emission factors'!$K$3:$K$379&amp;'Emission factors'!$L$3:$L$379,0),MATCH($H$7,'Emission factors'!$K$2:$V$2,0)))</f>
        <v/>
      </c>
      <c r="I27" s="32" t="str">
        <f>IF(OR(OrganisationalWasteTable[[#This Row],[Waste type]]="",OrganisationalWasteTable[[#This Row],[Converted data]]=""),"",SUM(OrganisationalWasteTable[[#This Row],[Direct]:[Indirect WTT]]))</f>
        <v/>
      </c>
      <c r="J27" s="122"/>
      <c r="K27" s="217" t="str">
        <f t="array" ref="K27">IF(OR($B27="",$D27="",$F27=""),"",(INDEX('Emission factors'!$K$3:$V$379,MATCH($B27&amp;$C27,'Emission factors'!$K$3:$K$379&amp;'Emission factors'!$L$3:$L$379,0),MATCH(K$7,'Emission factors'!$K$2:$V$2,0)))*$F27)</f>
        <v/>
      </c>
      <c r="L27" s="217" t="str">
        <f t="array" ref="L27">IF(OR($B27="",$D27="",$F27=""),"",(INDEX('Emission factors'!$K$3:$V$379,MATCH($B27&amp;$C27,'Emission factors'!$K$3:$K$379&amp;'Emission factors'!$L$3:$L$379,0),MATCH(L$7,'Emission factors'!$K$2:$V$2,0)))*$F27)</f>
        <v/>
      </c>
      <c r="M27" s="217" t="str">
        <f t="array" ref="M27">IF(OR($B27="",$D27="",$F27=""),"",(INDEX('Emission factors'!$K$3:$V$379,MATCH($B27&amp;$C27,'Emission factors'!$K$3:$K$379&amp;'Emission factors'!$L$3:$L$379,0),MATCH(M$7,'Emission factors'!$K$2:$V$2,0)))*$F27)</f>
        <v/>
      </c>
      <c r="N27" s="217" t="str">
        <f t="array" ref="N27">IF(OR($B27="",$D27="",$F27=""),"",(INDEX('Emission factors'!$K$3:$V$379,MATCH($B27&amp;$C27,'Emission factors'!$K$3:$K$379&amp;'Emission factors'!$L$3:$L$379,0),MATCH(N$7,'Emission factors'!$K$2:$V$2,0)))*$F27)</f>
        <v/>
      </c>
      <c r="O27" s="217" t="str">
        <f t="array" ref="O27">IF(OR($B27="",$D27="",$F27=""),"",(INDEX('Emission factors'!$K$3:$V$379,MATCH($B27&amp;$C27,'Emission factors'!$K$3:$K$379&amp;'Emission factors'!$L$3:$L$379,0),MATCH(O$7,'Emission factors'!$K$2:$V$2,0)))*$F27)</f>
        <v/>
      </c>
      <c r="P27" s="224"/>
      <c r="Q27" s="54"/>
      <c r="U27" s="1"/>
      <c r="V27" s="1"/>
      <c r="W27" s="1"/>
    </row>
    <row r="28" spans="2:23" ht="15.75" thickBot="1" x14ac:dyDescent="0.3">
      <c r="B28" s="126"/>
      <c r="C28" s="123"/>
      <c r="D28" s="120"/>
      <c r="E28" s="123"/>
      <c r="F28" s="32" t="str">
        <f t="array" ref="F28">IF(OR($B28="",$C28="",E28=""),"",IF(E28=G28,D28,(INDEX('Emission factors'!$K$3:$V$379,MATCH($B28&amp;$C28,'Emission factors'!$K$3:$K$379&amp;'Emission factors'!$L$3:$L$379,0),MATCH($F$7,'Emission factors'!$K$2:$V$2,0)))*D28))</f>
        <v/>
      </c>
      <c r="G28" s="29" t="str">
        <f t="array" ref="G28">IF(OR($B28="",$D28="",OrganisationalWasteTable[[#This Row],[Units]]=""),"",INDEX('Emission factors'!$K$3:$V$379,MATCH($B28&amp;$C28,'Emission factors'!$K$3:$K$379&amp;'Emission factors'!$L$3:$L$379,0),MATCH($G$7,'Emission factors'!$K$2:$V$2,0)))</f>
        <v/>
      </c>
      <c r="H28" s="233" t="str">
        <f t="array" ref="H28">IF(OR(B28="",C28="",OrganisationalWasteTable[[#This Row],[Data]]=""),"",INDEX('Emission factors'!$K$3:$V$379,MATCH($B28&amp;$C28,'Emission factors'!$K$3:$K$379&amp;'Emission factors'!$L$3:$L$379,0),MATCH($H$7,'Emission factors'!$K$2:$V$2,0)))</f>
        <v/>
      </c>
      <c r="I28" s="32" t="str">
        <f>IF(OR(OrganisationalWasteTable[[#This Row],[Waste type]]="",OrganisationalWasteTable[[#This Row],[Converted data]]=""),"",SUM(OrganisationalWasteTable[[#This Row],[Direct]:[Indirect WTT]]))</f>
        <v/>
      </c>
      <c r="J28" s="122"/>
      <c r="K28" s="217" t="str">
        <f t="array" ref="K28">IF(OR($B28="",$D28="",$F28=""),"",(INDEX('Emission factors'!$K$3:$V$379,MATCH($B28&amp;$C28,'Emission factors'!$K$3:$K$379&amp;'Emission factors'!$L$3:$L$379,0),MATCH(K$7,'Emission factors'!$K$2:$V$2,0)))*$F28)</f>
        <v/>
      </c>
      <c r="L28" s="217" t="str">
        <f t="array" ref="L28">IF(OR($B28="",$D28="",$F28=""),"",(INDEX('Emission factors'!$K$3:$V$379,MATCH($B28&amp;$C28,'Emission factors'!$K$3:$K$379&amp;'Emission factors'!$L$3:$L$379,0),MATCH(L$7,'Emission factors'!$K$2:$V$2,0)))*$F28)</f>
        <v/>
      </c>
      <c r="M28" s="217" t="str">
        <f t="array" ref="M28">IF(OR($B28="",$D28="",$F28=""),"",(INDEX('Emission factors'!$K$3:$V$379,MATCH($B28&amp;$C28,'Emission factors'!$K$3:$K$379&amp;'Emission factors'!$L$3:$L$379,0),MATCH(M$7,'Emission factors'!$K$2:$V$2,0)))*$F28)</f>
        <v/>
      </c>
      <c r="N28" s="217" t="str">
        <f t="array" ref="N28">IF(OR($B28="",$D28="",$F28=""),"",(INDEX('Emission factors'!$K$3:$V$379,MATCH($B28&amp;$C28,'Emission factors'!$K$3:$K$379&amp;'Emission factors'!$L$3:$L$379,0),MATCH(N$7,'Emission factors'!$K$2:$V$2,0)))*$F28)</f>
        <v/>
      </c>
      <c r="O28" s="217" t="str">
        <f t="array" ref="O28">IF(OR($B28="",$D28="",$F28=""),"",(INDEX('Emission factors'!$K$3:$V$379,MATCH($B28&amp;$C28,'Emission factors'!$K$3:$K$379&amp;'Emission factors'!$L$3:$L$379,0),MATCH(O$7,'Emission factors'!$K$2:$V$2,0)))*$F28)</f>
        <v/>
      </c>
      <c r="P28" s="224"/>
      <c r="Q28" s="54"/>
      <c r="U28" s="1"/>
      <c r="V28" s="1"/>
      <c r="W28" s="1"/>
    </row>
    <row r="29" spans="2:23" ht="15.75" thickBot="1" x14ac:dyDescent="0.3">
      <c r="B29" s="126"/>
      <c r="C29" s="123"/>
      <c r="D29" s="120"/>
      <c r="E29" s="123"/>
      <c r="F29" s="32" t="str">
        <f t="array" ref="F29">IF(OR($B29="",$C29="",E29=""),"",IF(E29=G29,D29,(INDEX('Emission factors'!$K$3:$V$379,MATCH($B29&amp;$C29,'Emission factors'!$K$3:$K$379&amp;'Emission factors'!$L$3:$L$379,0),MATCH($F$7,'Emission factors'!$K$2:$V$2,0)))*D29))</f>
        <v/>
      </c>
      <c r="G29" s="29" t="str">
        <f t="array" ref="G29">IF(OR($B29="",$D29="",OrganisationalWasteTable[[#This Row],[Units]]=""),"",INDEX('Emission factors'!$K$3:$V$379,MATCH($B29&amp;$C29,'Emission factors'!$K$3:$K$379&amp;'Emission factors'!$L$3:$L$379,0),MATCH($G$7,'Emission factors'!$K$2:$V$2,0)))</f>
        <v/>
      </c>
      <c r="H29" s="233" t="str">
        <f t="array" ref="H29">IF(OR(B29="",C29="",OrganisationalWasteTable[[#This Row],[Data]]=""),"",INDEX('Emission factors'!$K$3:$V$379,MATCH($B29&amp;$C29,'Emission factors'!$K$3:$K$379&amp;'Emission factors'!$L$3:$L$379,0),MATCH($H$7,'Emission factors'!$K$2:$V$2,0)))</f>
        <v/>
      </c>
      <c r="I29" s="32" t="str">
        <f>IF(OR(OrganisationalWasteTable[[#This Row],[Waste type]]="",OrganisationalWasteTable[[#This Row],[Converted data]]=""),"",SUM(OrganisationalWasteTable[[#This Row],[Direct]:[Indirect WTT]]))</f>
        <v/>
      </c>
      <c r="J29" s="122"/>
      <c r="K29" s="217" t="str">
        <f t="array" ref="K29">IF(OR($B29="",$D29="",$F29=""),"",(INDEX('Emission factors'!$K$3:$V$379,MATCH($B29&amp;$C29,'Emission factors'!$K$3:$K$379&amp;'Emission factors'!$L$3:$L$379,0),MATCH(K$7,'Emission factors'!$K$2:$V$2,0)))*$F29)</f>
        <v/>
      </c>
      <c r="L29" s="217" t="str">
        <f t="array" ref="L29">IF(OR($B29="",$D29="",$F29=""),"",(INDEX('Emission factors'!$K$3:$V$379,MATCH($B29&amp;$C29,'Emission factors'!$K$3:$K$379&amp;'Emission factors'!$L$3:$L$379,0),MATCH(L$7,'Emission factors'!$K$2:$V$2,0)))*$F29)</f>
        <v/>
      </c>
      <c r="M29" s="217" t="str">
        <f t="array" ref="M29">IF(OR($B29="",$D29="",$F29=""),"",(INDEX('Emission factors'!$K$3:$V$379,MATCH($B29&amp;$C29,'Emission factors'!$K$3:$K$379&amp;'Emission factors'!$L$3:$L$379,0),MATCH(M$7,'Emission factors'!$K$2:$V$2,0)))*$F29)</f>
        <v/>
      </c>
      <c r="N29" s="217" t="str">
        <f t="array" ref="N29">IF(OR($B29="",$D29="",$F29=""),"",(INDEX('Emission factors'!$K$3:$V$379,MATCH($B29&amp;$C29,'Emission factors'!$K$3:$K$379&amp;'Emission factors'!$L$3:$L$379,0),MATCH(N$7,'Emission factors'!$K$2:$V$2,0)))*$F29)</f>
        <v/>
      </c>
      <c r="O29" s="217" t="str">
        <f t="array" ref="O29">IF(OR($B29="",$D29="",$F29=""),"",(INDEX('Emission factors'!$K$3:$V$379,MATCH($B29&amp;$C29,'Emission factors'!$K$3:$K$379&amp;'Emission factors'!$L$3:$L$379,0),MATCH(O$7,'Emission factors'!$K$2:$V$2,0)))*$F29)</f>
        <v/>
      </c>
      <c r="P29" s="224"/>
      <c r="Q29" s="54"/>
      <c r="U29" s="1"/>
      <c r="V29" s="1"/>
      <c r="W29" s="1"/>
    </row>
    <row r="30" spans="2:23" ht="15.75" thickBot="1" x14ac:dyDescent="0.3">
      <c r="B30" s="126"/>
      <c r="C30" s="123"/>
      <c r="D30" s="120"/>
      <c r="E30" s="123"/>
      <c r="F30" s="32" t="str">
        <f t="array" ref="F30">IF(OR($B30="",$C30="",E30=""),"",IF(E30=G30,D30,(INDEX('Emission factors'!$K$3:$V$379,MATCH($B30&amp;$C30,'Emission factors'!$K$3:$K$379&amp;'Emission factors'!$L$3:$L$379,0),MATCH($F$7,'Emission factors'!$K$2:$V$2,0)))*D30))</f>
        <v/>
      </c>
      <c r="G30" s="29" t="str">
        <f t="array" ref="G30">IF(OR($B30="",$D30="",OrganisationalWasteTable[[#This Row],[Units]]=""),"",INDEX('Emission factors'!$K$3:$V$379,MATCH($B30&amp;$C30,'Emission factors'!$K$3:$K$379&amp;'Emission factors'!$L$3:$L$379,0),MATCH($G$7,'Emission factors'!$K$2:$V$2,0)))</f>
        <v/>
      </c>
      <c r="H30" s="233" t="str">
        <f t="array" ref="H30">IF(OR(B30="",C30="",OrganisationalWasteTable[[#This Row],[Data]]=""),"",INDEX('Emission factors'!$K$3:$V$379,MATCH($B30&amp;$C30,'Emission factors'!$K$3:$K$379&amp;'Emission factors'!$L$3:$L$379,0),MATCH($H$7,'Emission factors'!$K$2:$V$2,0)))</f>
        <v/>
      </c>
      <c r="I30" s="32" t="str">
        <f>IF(OR(OrganisationalWasteTable[[#This Row],[Waste type]]="",OrganisationalWasteTable[[#This Row],[Converted data]]=""),"",SUM(OrganisationalWasteTable[[#This Row],[Direct]:[Indirect WTT]]))</f>
        <v/>
      </c>
      <c r="J30" s="122"/>
      <c r="K30" s="217" t="str">
        <f t="array" ref="K30">IF(OR($B30="",$D30="",$F30=""),"",(INDEX('Emission factors'!$K$3:$V$379,MATCH($B30&amp;$C30,'Emission factors'!$K$3:$K$379&amp;'Emission factors'!$L$3:$L$379,0),MATCH(K$7,'Emission factors'!$K$2:$V$2,0)))*$F30)</f>
        <v/>
      </c>
      <c r="L30" s="217" t="str">
        <f t="array" ref="L30">IF(OR($B30="",$D30="",$F30=""),"",(INDEX('Emission factors'!$K$3:$V$379,MATCH($B30&amp;$C30,'Emission factors'!$K$3:$K$379&amp;'Emission factors'!$L$3:$L$379,0),MATCH(L$7,'Emission factors'!$K$2:$V$2,0)))*$F30)</f>
        <v/>
      </c>
      <c r="M30" s="217" t="str">
        <f t="array" ref="M30">IF(OR($B30="",$D30="",$F30=""),"",(INDEX('Emission factors'!$K$3:$V$379,MATCH($B30&amp;$C30,'Emission factors'!$K$3:$K$379&amp;'Emission factors'!$L$3:$L$379,0),MATCH(M$7,'Emission factors'!$K$2:$V$2,0)))*$F30)</f>
        <v/>
      </c>
      <c r="N30" s="217" t="str">
        <f t="array" ref="N30">IF(OR($B30="",$D30="",$F30=""),"",(INDEX('Emission factors'!$K$3:$V$379,MATCH($B30&amp;$C30,'Emission factors'!$K$3:$K$379&amp;'Emission factors'!$L$3:$L$379,0),MATCH(N$7,'Emission factors'!$K$2:$V$2,0)))*$F30)</f>
        <v/>
      </c>
      <c r="O30" s="217" t="str">
        <f t="array" ref="O30">IF(OR($B30="",$D30="",$F30=""),"",(INDEX('Emission factors'!$K$3:$V$379,MATCH($B30&amp;$C30,'Emission factors'!$K$3:$K$379&amp;'Emission factors'!$L$3:$L$379,0),MATCH(O$7,'Emission factors'!$K$2:$V$2,0)))*$F30)</f>
        <v/>
      </c>
      <c r="P30" s="224"/>
      <c r="Q30" s="54"/>
      <c r="U30" s="1"/>
      <c r="V30" s="1"/>
      <c r="W30" s="1"/>
    </row>
    <row r="31" spans="2:23" ht="15.75" thickBot="1" x14ac:dyDescent="0.3">
      <c r="B31" s="126"/>
      <c r="C31" s="123"/>
      <c r="D31" s="120"/>
      <c r="E31" s="123"/>
      <c r="F31" s="32" t="str">
        <f t="array" ref="F31">IF(OR($B31="",$C31="",E31=""),"",IF(E31=G31,D31,(INDEX('Emission factors'!$K$3:$V$379,MATCH($B31&amp;$C31,'Emission factors'!$K$3:$K$379&amp;'Emission factors'!$L$3:$L$379,0),MATCH($F$7,'Emission factors'!$K$2:$V$2,0)))*D31))</f>
        <v/>
      </c>
      <c r="G31" s="29" t="str">
        <f t="array" ref="G31">IF(OR($B31="",$D31="",OrganisationalWasteTable[[#This Row],[Units]]=""),"",INDEX('Emission factors'!$K$3:$V$379,MATCH($B31&amp;$C31,'Emission factors'!$K$3:$K$379&amp;'Emission factors'!$L$3:$L$379,0),MATCH($G$7,'Emission factors'!$K$2:$V$2,0)))</f>
        <v/>
      </c>
      <c r="H31" s="233" t="str">
        <f t="array" ref="H31">IF(OR(B31="",C31="",OrganisationalWasteTable[[#This Row],[Data]]=""),"",INDEX('Emission factors'!$K$3:$V$379,MATCH($B31&amp;$C31,'Emission factors'!$K$3:$K$379&amp;'Emission factors'!$L$3:$L$379,0),MATCH($H$7,'Emission factors'!$K$2:$V$2,0)))</f>
        <v/>
      </c>
      <c r="I31" s="32" t="str">
        <f>IF(OR(OrganisationalWasteTable[[#This Row],[Waste type]]="",OrganisationalWasteTable[[#This Row],[Converted data]]=""),"",SUM(OrganisationalWasteTable[[#This Row],[Direct]:[Indirect WTT]]))</f>
        <v/>
      </c>
      <c r="J31" s="122"/>
      <c r="K31" s="217" t="str">
        <f t="array" ref="K31">IF(OR($B31="",$D31="",$F31=""),"",(INDEX('Emission factors'!$K$3:$V$379,MATCH($B31&amp;$C31,'Emission factors'!$K$3:$K$379&amp;'Emission factors'!$L$3:$L$379,0),MATCH(K$7,'Emission factors'!$K$2:$V$2,0)))*$F31)</f>
        <v/>
      </c>
      <c r="L31" s="217" t="str">
        <f t="array" ref="L31">IF(OR($B31="",$D31="",$F31=""),"",(INDEX('Emission factors'!$K$3:$V$379,MATCH($B31&amp;$C31,'Emission factors'!$K$3:$K$379&amp;'Emission factors'!$L$3:$L$379,0),MATCH(L$7,'Emission factors'!$K$2:$V$2,0)))*$F31)</f>
        <v/>
      </c>
      <c r="M31" s="217" t="str">
        <f t="array" ref="M31">IF(OR($B31="",$D31="",$F31=""),"",(INDEX('Emission factors'!$K$3:$V$379,MATCH($B31&amp;$C31,'Emission factors'!$K$3:$K$379&amp;'Emission factors'!$L$3:$L$379,0),MATCH(M$7,'Emission factors'!$K$2:$V$2,0)))*$F31)</f>
        <v/>
      </c>
      <c r="N31" s="217" t="str">
        <f t="array" ref="N31">IF(OR($B31="",$D31="",$F31=""),"",(INDEX('Emission factors'!$K$3:$V$379,MATCH($B31&amp;$C31,'Emission factors'!$K$3:$K$379&amp;'Emission factors'!$L$3:$L$379,0),MATCH(N$7,'Emission factors'!$K$2:$V$2,0)))*$F31)</f>
        <v/>
      </c>
      <c r="O31" s="217" t="str">
        <f t="array" ref="O31">IF(OR($B31="",$D31="",$F31=""),"",(INDEX('Emission factors'!$K$3:$V$379,MATCH($B31&amp;$C31,'Emission factors'!$K$3:$K$379&amp;'Emission factors'!$L$3:$L$379,0),MATCH(O$7,'Emission factors'!$K$2:$V$2,0)))*$F31)</f>
        <v/>
      </c>
      <c r="P31" s="224"/>
      <c r="Q31" s="54"/>
      <c r="U31" s="1"/>
      <c r="V31" s="1"/>
      <c r="W31" s="1"/>
    </row>
    <row r="32" spans="2:23" ht="15.75" thickBot="1" x14ac:dyDescent="0.3">
      <c r="B32" s="126"/>
      <c r="C32" s="123"/>
      <c r="D32" s="120"/>
      <c r="E32" s="123"/>
      <c r="F32" s="32" t="str">
        <f t="array" ref="F32">IF(OR($B32="",$C32="",E32=""),"",IF(E32=G32,D32,(INDEX('Emission factors'!$K$3:$V$379,MATCH($B32&amp;$C32,'Emission factors'!$K$3:$K$379&amp;'Emission factors'!$L$3:$L$379,0),MATCH($F$7,'Emission factors'!$K$2:$V$2,0)))*D32))</f>
        <v/>
      </c>
      <c r="G32" s="29" t="str">
        <f t="array" ref="G32">IF(OR($B32="",$D32="",OrganisationalWasteTable[[#This Row],[Units]]=""),"",INDEX('Emission factors'!$K$3:$V$379,MATCH($B32&amp;$C32,'Emission factors'!$K$3:$K$379&amp;'Emission factors'!$L$3:$L$379,0),MATCH($G$7,'Emission factors'!$K$2:$V$2,0)))</f>
        <v/>
      </c>
      <c r="H32" s="233" t="str">
        <f t="array" ref="H32">IF(OR(B32="",C32="",OrganisationalWasteTable[[#This Row],[Data]]=""),"",INDEX('Emission factors'!$K$3:$V$379,MATCH($B32&amp;$C32,'Emission factors'!$K$3:$K$379&amp;'Emission factors'!$L$3:$L$379,0),MATCH($H$7,'Emission factors'!$K$2:$V$2,0)))</f>
        <v/>
      </c>
      <c r="I32" s="32" t="str">
        <f>IF(OR(OrganisationalWasteTable[[#This Row],[Waste type]]="",OrganisationalWasteTable[[#This Row],[Converted data]]=""),"",SUM(OrganisationalWasteTable[[#This Row],[Direct]:[Indirect WTT]]))</f>
        <v/>
      </c>
      <c r="J32" s="122"/>
      <c r="K32" s="217" t="str">
        <f t="array" ref="K32">IF(OR($B32="",$D32="",$F32=""),"",(INDEX('Emission factors'!$K$3:$V$379,MATCH($B32&amp;$C32,'Emission factors'!$K$3:$K$379&amp;'Emission factors'!$L$3:$L$379,0),MATCH(K$7,'Emission factors'!$K$2:$V$2,0)))*$F32)</f>
        <v/>
      </c>
      <c r="L32" s="217" t="str">
        <f t="array" ref="L32">IF(OR($B32="",$D32="",$F32=""),"",(INDEX('Emission factors'!$K$3:$V$379,MATCH($B32&amp;$C32,'Emission factors'!$K$3:$K$379&amp;'Emission factors'!$L$3:$L$379,0),MATCH(L$7,'Emission factors'!$K$2:$V$2,0)))*$F32)</f>
        <v/>
      </c>
      <c r="M32" s="217" t="str">
        <f t="array" ref="M32">IF(OR($B32="",$D32="",$F32=""),"",(INDEX('Emission factors'!$K$3:$V$379,MATCH($B32&amp;$C32,'Emission factors'!$K$3:$K$379&amp;'Emission factors'!$L$3:$L$379,0),MATCH(M$7,'Emission factors'!$K$2:$V$2,0)))*$F32)</f>
        <v/>
      </c>
      <c r="N32" s="217" t="str">
        <f t="array" ref="N32">IF(OR($B32="",$D32="",$F32=""),"",(INDEX('Emission factors'!$K$3:$V$379,MATCH($B32&amp;$C32,'Emission factors'!$K$3:$K$379&amp;'Emission factors'!$L$3:$L$379,0),MATCH(N$7,'Emission factors'!$K$2:$V$2,0)))*$F32)</f>
        <v/>
      </c>
      <c r="O32" s="217" t="str">
        <f t="array" ref="O32">IF(OR($B32="",$D32="",$F32=""),"",(INDEX('Emission factors'!$K$3:$V$379,MATCH($B32&amp;$C32,'Emission factors'!$K$3:$K$379&amp;'Emission factors'!$L$3:$L$379,0),MATCH(O$7,'Emission factors'!$K$2:$V$2,0)))*$F32)</f>
        <v/>
      </c>
      <c r="P32" s="224"/>
      <c r="Q32" s="54"/>
      <c r="U32" s="1"/>
      <c r="V32" s="1"/>
      <c r="W32" s="1"/>
    </row>
    <row r="33" spans="2:23" ht="15.75" thickBot="1" x14ac:dyDescent="0.3">
      <c r="B33" s="126"/>
      <c r="C33" s="123"/>
      <c r="D33" s="120"/>
      <c r="E33" s="123"/>
      <c r="F33" s="32" t="str">
        <f t="array" ref="F33">IF(OR($B33="",$C33="",E33=""),"",IF(E33=G33,D33,(INDEX('Emission factors'!$K$3:$V$379,MATCH($B33&amp;$C33,'Emission factors'!$K$3:$K$379&amp;'Emission factors'!$L$3:$L$379,0),MATCH($F$7,'Emission factors'!$K$2:$V$2,0)))*D33))</f>
        <v/>
      </c>
      <c r="G33" s="29" t="str">
        <f t="array" ref="G33">IF(OR($B33="",$D33="",OrganisationalWasteTable[[#This Row],[Units]]=""),"",INDEX('Emission factors'!$K$3:$V$379,MATCH($B33&amp;$C33,'Emission factors'!$K$3:$K$379&amp;'Emission factors'!$L$3:$L$379,0),MATCH($G$7,'Emission factors'!$K$2:$V$2,0)))</f>
        <v/>
      </c>
      <c r="H33" s="233" t="str">
        <f t="array" ref="H33">IF(OR(B33="",C33="",OrganisationalWasteTable[[#This Row],[Data]]=""),"",INDEX('Emission factors'!$K$3:$V$379,MATCH($B33&amp;$C33,'Emission factors'!$K$3:$K$379&amp;'Emission factors'!$L$3:$L$379,0),MATCH($H$7,'Emission factors'!$K$2:$V$2,0)))</f>
        <v/>
      </c>
      <c r="I33" s="32" t="str">
        <f>IF(OR(OrganisationalWasteTable[[#This Row],[Waste type]]="",OrganisationalWasteTable[[#This Row],[Converted data]]=""),"",SUM(OrganisationalWasteTable[[#This Row],[Direct]:[Indirect WTT]]))</f>
        <v/>
      </c>
      <c r="J33" s="122"/>
      <c r="K33" s="217" t="str">
        <f t="array" ref="K33">IF(OR($B33="",$D33="",$F33=""),"",(INDEX('Emission factors'!$K$3:$V$379,MATCH($B33&amp;$C33,'Emission factors'!$K$3:$K$379&amp;'Emission factors'!$L$3:$L$379,0),MATCH(K$7,'Emission factors'!$K$2:$V$2,0)))*$F33)</f>
        <v/>
      </c>
      <c r="L33" s="217" t="str">
        <f t="array" ref="L33">IF(OR($B33="",$D33="",$F33=""),"",(INDEX('Emission factors'!$K$3:$V$379,MATCH($B33&amp;$C33,'Emission factors'!$K$3:$K$379&amp;'Emission factors'!$L$3:$L$379,0),MATCH(L$7,'Emission factors'!$K$2:$V$2,0)))*$F33)</f>
        <v/>
      </c>
      <c r="M33" s="217" t="str">
        <f t="array" ref="M33">IF(OR($B33="",$D33="",$F33=""),"",(INDEX('Emission factors'!$K$3:$V$379,MATCH($B33&amp;$C33,'Emission factors'!$K$3:$K$379&amp;'Emission factors'!$L$3:$L$379,0),MATCH(M$7,'Emission factors'!$K$2:$V$2,0)))*$F33)</f>
        <v/>
      </c>
      <c r="N33" s="217" t="str">
        <f t="array" ref="N33">IF(OR($B33="",$D33="",$F33=""),"",(INDEX('Emission factors'!$K$3:$V$379,MATCH($B33&amp;$C33,'Emission factors'!$K$3:$K$379&amp;'Emission factors'!$L$3:$L$379,0),MATCH(N$7,'Emission factors'!$K$2:$V$2,0)))*$F33)</f>
        <v/>
      </c>
      <c r="O33" s="217" t="str">
        <f t="array" ref="O33">IF(OR($B33="",$D33="",$F33=""),"",(INDEX('Emission factors'!$K$3:$V$379,MATCH($B33&amp;$C33,'Emission factors'!$K$3:$K$379&amp;'Emission factors'!$L$3:$L$379,0),MATCH(O$7,'Emission factors'!$K$2:$V$2,0)))*$F33)</f>
        <v/>
      </c>
      <c r="P33" s="224"/>
      <c r="Q33" s="54"/>
      <c r="U33" s="1"/>
      <c r="V33" s="1"/>
      <c r="W33" s="1"/>
    </row>
    <row r="34" spans="2:23" ht="15.75" thickBot="1" x14ac:dyDescent="0.3">
      <c r="B34" s="126"/>
      <c r="C34" s="123"/>
      <c r="D34" s="120"/>
      <c r="E34" s="123"/>
      <c r="F34" s="32" t="str">
        <f t="array" ref="F34">IF(OR($B34="",$C34="",E34=""),"",IF(E34=G34,D34,(INDEX('Emission factors'!$K$3:$V$379,MATCH($B34&amp;$C34,'Emission factors'!$K$3:$K$379&amp;'Emission factors'!$L$3:$L$379,0),MATCH($F$7,'Emission factors'!$K$2:$V$2,0)))*D34))</f>
        <v/>
      </c>
      <c r="G34" s="29" t="str">
        <f t="array" ref="G34">IF(OR($B34="",$D34="",OrganisationalWasteTable[[#This Row],[Units]]=""),"",INDEX('Emission factors'!$K$3:$V$379,MATCH($B34&amp;$C34,'Emission factors'!$K$3:$K$379&amp;'Emission factors'!$L$3:$L$379,0),MATCH($G$7,'Emission factors'!$K$2:$V$2,0)))</f>
        <v/>
      </c>
      <c r="H34" s="233" t="str">
        <f t="array" ref="H34">IF(OR(B34="",C34="",OrganisationalWasteTable[[#This Row],[Data]]=""),"",INDEX('Emission factors'!$K$3:$V$379,MATCH($B34&amp;$C34,'Emission factors'!$K$3:$K$379&amp;'Emission factors'!$L$3:$L$379,0),MATCH($H$7,'Emission factors'!$K$2:$V$2,0)))</f>
        <v/>
      </c>
      <c r="I34" s="32" t="str">
        <f>IF(OR(OrganisationalWasteTable[[#This Row],[Waste type]]="",OrganisationalWasteTable[[#This Row],[Converted data]]=""),"",SUM(OrganisationalWasteTable[[#This Row],[Direct]:[Indirect WTT]]))</f>
        <v/>
      </c>
      <c r="J34" s="122"/>
      <c r="K34" s="217" t="str">
        <f t="array" ref="K34">IF(OR($B34="",$D34="",$F34=""),"",(INDEX('Emission factors'!$K$3:$V$379,MATCH($B34&amp;$C34,'Emission factors'!$K$3:$K$379&amp;'Emission factors'!$L$3:$L$379,0),MATCH(K$7,'Emission factors'!$K$2:$V$2,0)))*$F34)</f>
        <v/>
      </c>
      <c r="L34" s="217" t="str">
        <f t="array" ref="L34">IF(OR($B34="",$D34="",$F34=""),"",(INDEX('Emission factors'!$K$3:$V$379,MATCH($B34&amp;$C34,'Emission factors'!$K$3:$K$379&amp;'Emission factors'!$L$3:$L$379,0),MATCH(L$7,'Emission factors'!$K$2:$V$2,0)))*$F34)</f>
        <v/>
      </c>
      <c r="M34" s="217" t="str">
        <f t="array" ref="M34">IF(OR($B34="",$D34="",$F34=""),"",(INDEX('Emission factors'!$K$3:$V$379,MATCH($B34&amp;$C34,'Emission factors'!$K$3:$K$379&amp;'Emission factors'!$L$3:$L$379,0),MATCH(M$7,'Emission factors'!$K$2:$V$2,0)))*$F34)</f>
        <v/>
      </c>
      <c r="N34" s="217" t="str">
        <f t="array" ref="N34">IF(OR($B34="",$D34="",$F34=""),"",(INDEX('Emission factors'!$K$3:$V$379,MATCH($B34&amp;$C34,'Emission factors'!$K$3:$K$379&amp;'Emission factors'!$L$3:$L$379,0),MATCH(N$7,'Emission factors'!$K$2:$V$2,0)))*$F34)</f>
        <v/>
      </c>
      <c r="O34" s="217" t="str">
        <f t="array" ref="O34">IF(OR($B34="",$D34="",$F34=""),"",(INDEX('Emission factors'!$K$3:$V$379,MATCH($B34&amp;$C34,'Emission factors'!$K$3:$K$379&amp;'Emission factors'!$L$3:$L$379,0),MATCH(O$7,'Emission factors'!$K$2:$V$2,0)))*$F34)</f>
        <v/>
      </c>
      <c r="P34" s="224"/>
      <c r="Q34" s="54"/>
      <c r="U34" s="1"/>
      <c r="V34" s="1"/>
      <c r="W34" s="1"/>
    </row>
    <row r="35" spans="2:23" ht="15.75" thickBot="1" x14ac:dyDescent="0.3">
      <c r="B35" s="126"/>
      <c r="C35" s="123"/>
      <c r="D35" s="120"/>
      <c r="E35" s="123"/>
      <c r="F35" s="32" t="str">
        <f t="array" ref="F35">IF(OR($B35="",$C35="",E35=""),"",IF(E35=G35,D35,(INDEX('Emission factors'!$K$3:$V$379,MATCH($B35&amp;$C35,'Emission factors'!$K$3:$K$379&amp;'Emission factors'!$L$3:$L$379,0),MATCH($F$7,'Emission factors'!$K$2:$V$2,0)))*D35))</f>
        <v/>
      </c>
      <c r="G35" s="29" t="str">
        <f t="array" ref="G35">IF(OR($B35="",$D35="",OrganisationalWasteTable[[#This Row],[Units]]=""),"",INDEX('Emission factors'!$K$3:$V$379,MATCH($B35&amp;$C35,'Emission factors'!$K$3:$K$379&amp;'Emission factors'!$L$3:$L$379,0),MATCH($G$7,'Emission factors'!$K$2:$V$2,0)))</f>
        <v/>
      </c>
      <c r="H35" s="233" t="str">
        <f t="array" ref="H35">IF(OR(B35="",C35="",OrganisationalWasteTable[[#This Row],[Data]]=""),"",INDEX('Emission factors'!$K$3:$V$379,MATCH($B35&amp;$C35,'Emission factors'!$K$3:$K$379&amp;'Emission factors'!$L$3:$L$379,0),MATCH($H$7,'Emission factors'!$K$2:$V$2,0)))</f>
        <v/>
      </c>
      <c r="I35" s="32" t="str">
        <f>IF(OR(OrganisationalWasteTable[[#This Row],[Waste type]]="",OrganisationalWasteTable[[#This Row],[Converted data]]=""),"",SUM(OrganisationalWasteTable[[#This Row],[Direct]:[Indirect WTT]]))</f>
        <v/>
      </c>
      <c r="J35" s="122"/>
      <c r="K35" s="217" t="str">
        <f t="array" ref="K35">IF(OR($B35="",$D35="",$F35=""),"",(INDEX('Emission factors'!$K$3:$V$379,MATCH($B35&amp;$C35,'Emission factors'!$K$3:$K$379&amp;'Emission factors'!$L$3:$L$379,0),MATCH(K$7,'Emission factors'!$K$2:$V$2,0)))*$F35)</f>
        <v/>
      </c>
      <c r="L35" s="217" t="str">
        <f t="array" ref="L35">IF(OR($B35="",$D35="",$F35=""),"",(INDEX('Emission factors'!$K$3:$V$379,MATCH($B35&amp;$C35,'Emission factors'!$K$3:$K$379&amp;'Emission factors'!$L$3:$L$379,0),MATCH(L$7,'Emission factors'!$K$2:$V$2,0)))*$F35)</f>
        <v/>
      </c>
      <c r="M35" s="217" t="str">
        <f t="array" ref="M35">IF(OR($B35="",$D35="",$F35=""),"",(INDEX('Emission factors'!$K$3:$V$379,MATCH($B35&amp;$C35,'Emission factors'!$K$3:$K$379&amp;'Emission factors'!$L$3:$L$379,0),MATCH(M$7,'Emission factors'!$K$2:$V$2,0)))*$F35)</f>
        <v/>
      </c>
      <c r="N35" s="217" t="str">
        <f t="array" ref="N35">IF(OR($B35="",$D35="",$F35=""),"",(INDEX('Emission factors'!$K$3:$V$379,MATCH($B35&amp;$C35,'Emission factors'!$K$3:$K$379&amp;'Emission factors'!$L$3:$L$379,0),MATCH(N$7,'Emission factors'!$K$2:$V$2,0)))*$F35)</f>
        <v/>
      </c>
      <c r="O35" s="217" t="str">
        <f t="array" ref="O35">IF(OR($B35="",$D35="",$F35=""),"",(INDEX('Emission factors'!$K$3:$V$379,MATCH($B35&amp;$C35,'Emission factors'!$K$3:$K$379&amp;'Emission factors'!$L$3:$L$379,0),MATCH(O$7,'Emission factors'!$K$2:$V$2,0)))*$F35)</f>
        <v/>
      </c>
      <c r="P35" s="224"/>
      <c r="Q35" s="54"/>
      <c r="U35" s="1"/>
      <c r="V35" s="1"/>
      <c r="W35" s="1"/>
    </row>
    <row r="36" spans="2:23" ht="15.75" thickBot="1" x14ac:dyDescent="0.3">
      <c r="B36" s="126"/>
      <c r="C36" s="123"/>
      <c r="D36" s="120"/>
      <c r="E36" s="123"/>
      <c r="F36" s="32" t="str">
        <f t="array" ref="F36">IF(OR($B36="",$C36="",E36=""),"",IF(E36=G36,D36,(INDEX('Emission factors'!$K$3:$V$379,MATCH($B36&amp;$C36,'Emission factors'!$K$3:$K$379&amp;'Emission factors'!$L$3:$L$379,0),MATCH($F$7,'Emission factors'!$K$2:$V$2,0)))*D36))</f>
        <v/>
      </c>
      <c r="G36" s="29" t="str">
        <f t="array" ref="G36">IF(OR($B36="",$D36="",OrganisationalWasteTable[[#This Row],[Units]]=""),"",INDEX('Emission factors'!$K$3:$V$379,MATCH($B36&amp;$C36,'Emission factors'!$K$3:$K$379&amp;'Emission factors'!$L$3:$L$379,0),MATCH($G$7,'Emission factors'!$K$2:$V$2,0)))</f>
        <v/>
      </c>
      <c r="H36" s="233" t="str">
        <f t="array" ref="H36">IF(OR(B36="",C36="",OrganisationalWasteTable[[#This Row],[Data]]=""),"",INDEX('Emission factors'!$K$3:$V$379,MATCH($B36&amp;$C36,'Emission factors'!$K$3:$K$379&amp;'Emission factors'!$L$3:$L$379,0),MATCH($H$7,'Emission factors'!$K$2:$V$2,0)))</f>
        <v/>
      </c>
      <c r="I36" s="32" t="str">
        <f>IF(OR(OrganisationalWasteTable[[#This Row],[Waste type]]="",OrganisationalWasteTable[[#This Row],[Converted data]]=""),"",SUM(OrganisationalWasteTable[[#This Row],[Direct]:[Indirect WTT]]))</f>
        <v/>
      </c>
      <c r="J36" s="122"/>
      <c r="K36" s="217" t="str">
        <f t="array" ref="K36">IF(OR($B36="",$D36="",$F36=""),"",(INDEX('Emission factors'!$K$3:$V$379,MATCH($B36&amp;$C36,'Emission factors'!$K$3:$K$379&amp;'Emission factors'!$L$3:$L$379,0),MATCH(K$7,'Emission factors'!$K$2:$V$2,0)))*$F36)</f>
        <v/>
      </c>
      <c r="L36" s="217" t="str">
        <f t="array" ref="L36">IF(OR($B36="",$D36="",$F36=""),"",(INDEX('Emission factors'!$K$3:$V$379,MATCH($B36&amp;$C36,'Emission factors'!$K$3:$K$379&amp;'Emission factors'!$L$3:$L$379,0),MATCH(L$7,'Emission factors'!$K$2:$V$2,0)))*$F36)</f>
        <v/>
      </c>
      <c r="M36" s="217" t="str">
        <f t="array" ref="M36">IF(OR($B36="",$D36="",$F36=""),"",(INDEX('Emission factors'!$K$3:$V$379,MATCH($B36&amp;$C36,'Emission factors'!$K$3:$K$379&amp;'Emission factors'!$L$3:$L$379,0),MATCH(M$7,'Emission factors'!$K$2:$V$2,0)))*$F36)</f>
        <v/>
      </c>
      <c r="N36" s="217" t="str">
        <f t="array" ref="N36">IF(OR($B36="",$D36="",$F36=""),"",(INDEX('Emission factors'!$K$3:$V$379,MATCH($B36&amp;$C36,'Emission factors'!$K$3:$K$379&amp;'Emission factors'!$L$3:$L$379,0),MATCH(N$7,'Emission factors'!$K$2:$V$2,0)))*$F36)</f>
        <v/>
      </c>
      <c r="O36" s="217" t="str">
        <f t="array" ref="O36">IF(OR($B36="",$D36="",$F36=""),"",(INDEX('Emission factors'!$K$3:$V$379,MATCH($B36&amp;$C36,'Emission factors'!$K$3:$K$379&amp;'Emission factors'!$L$3:$L$379,0),MATCH(O$7,'Emission factors'!$K$2:$V$2,0)))*$F36)</f>
        <v/>
      </c>
      <c r="P36" s="224"/>
      <c r="Q36" s="54"/>
      <c r="U36" s="1"/>
      <c r="V36" s="1"/>
      <c r="W36" s="1"/>
    </row>
    <row r="37" spans="2:23" ht="15.75" thickBot="1" x14ac:dyDescent="0.3">
      <c r="B37" s="126"/>
      <c r="C37" s="123"/>
      <c r="D37" s="120"/>
      <c r="E37" s="123"/>
      <c r="F37" s="32" t="str">
        <f t="array" ref="F37">IF(OR($B37="",$C37="",E37=""),"",IF(E37=G37,D37,(INDEX('Emission factors'!$K$3:$V$379,MATCH($B37&amp;$C37,'Emission factors'!$K$3:$K$379&amp;'Emission factors'!$L$3:$L$379,0),MATCH($F$7,'Emission factors'!$K$2:$V$2,0)))*D37))</f>
        <v/>
      </c>
      <c r="G37" s="29" t="str">
        <f t="array" ref="G37">IF(OR($B37="",$D37="",OrganisationalWasteTable[[#This Row],[Units]]=""),"",INDEX('Emission factors'!$K$3:$V$379,MATCH($B37&amp;$C37,'Emission factors'!$K$3:$K$379&amp;'Emission factors'!$L$3:$L$379,0),MATCH($G$7,'Emission factors'!$K$2:$V$2,0)))</f>
        <v/>
      </c>
      <c r="H37" s="233" t="str">
        <f t="array" ref="H37">IF(OR(B37="",C37="",OrganisationalWasteTable[[#This Row],[Data]]=""),"",INDEX('Emission factors'!$K$3:$V$379,MATCH($B37&amp;$C37,'Emission factors'!$K$3:$K$379&amp;'Emission factors'!$L$3:$L$379,0),MATCH($H$7,'Emission factors'!$K$2:$V$2,0)))</f>
        <v/>
      </c>
      <c r="I37" s="32" t="str">
        <f>IF(OR(OrganisationalWasteTable[[#This Row],[Waste type]]="",OrganisationalWasteTable[[#This Row],[Converted data]]=""),"",SUM(OrganisationalWasteTable[[#This Row],[Direct]:[Indirect WTT]]))</f>
        <v/>
      </c>
      <c r="J37" s="122"/>
      <c r="K37" s="217" t="str">
        <f t="array" ref="K37">IF(OR($B37="",$D37="",$F37=""),"",(INDEX('Emission factors'!$K$3:$V$379,MATCH($B37&amp;$C37,'Emission factors'!$K$3:$K$379&amp;'Emission factors'!$L$3:$L$379,0),MATCH(K$7,'Emission factors'!$K$2:$V$2,0)))*$F37)</f>
        <v/>
      </c>
      <c r="L37" s="217" t="str">
        <f t="array" ref="L37">IF(OR($B37="",$D37="",$F37=""),"",(INDEX('Emission factors'!$K$3:$V$379,MATCH($B37&amp;$C37,'Emission factors'!$K$3:$K$379&amp;'Emission factors'!$L$3:$L$379,0),MATCH(L$7,'Emission factors'!$K$2:$V$2,0)))*$F37)</f>
        <v/>
      </c>
      <c r="M37" s="217" t="str">
        <f t="array" ref="M37">IF(OR($B37="",$D37="",$F37=""),"",(INDEX('Emission factors'!$K$3:$V$379,MATCH($B37&amp;$C37,'Emission factors'!$K$3:$K$379&amp;'Emission factors'!$L$3:$L$379,0),MATCH(M$7,'Emission factors'!$K$2:$V$2,0)))*$F37)</f>
        <v/>
      </c>
      <c r="N37" s="217" t="str">
        <f t="array" ref="N37">IF(OR($B37="",$D37="",$F37=""),"",(INDEX('Emission factors'!$K$3:$V$379,MATCH($B37&amp;$C37,'Emission factors'!$K$3:$K$379&amp;'Emission factors'!$L$3:$L$379,0),MATCH(N$7,'Emission factors'!$K$2:$V$2,0)))*$F37)</f>
        <v/>
      </c>
      <c r="O37" s="217" t="str">
        <f t="array" ref="O37">IF(OR($B37="",$D37="",$F37=""),"",(INDEX('Emission factors'!$K$3:$V$379,MATCH($B37&amp;$C37,'Emission factors'!$K$3:$K$379&amp;'Emission factors'!$L$3:$L$379,0),MATCH(O$7,'Emission factors'!$K$2:$V$2,0)))*$F37)</f>
        <v/>
      </c>
      <c r="P37" s="224"/>
      <c r="Q37" s="54"/>
      <c r="U37" s="1"/>
      <c r="V37" s="1"/>
      <c r="W37" s="1"/>
    </row>
    <row r="38" spans="2:23" ht="15.75" thickBot="1" x14ac:dyDescent="0.3">
      <c r="B38" s="126"/>
      <c r="C38" s="123"/>
      <c r="D38" s="120"/>
      <c r="E38" s="123"/>
      <c r="F38" s="32" t="str">
        <f t="array" ref="F38">IF(OR($B38="",$C38="",E38=""),"",IF(E38=G38,D38,(INDEX('Emission factors'!$K$3:$V$379,MATCH($B38&amp;$C38,'Emission factors'!$K$3:$K$379&amp;'Emission factors'!$L$3:$L$379,0),MATCH($F$7,'Emission factors'!$K$2:$V$2,0)))*D38))</f>
        <v/>
      </c>
      <c r="G38" s="29" t="str">
        <f t="array" ref="G38">IF(OR($B38="",$D38="",OrganisationalWasteTable[[#This Row],[Units]]=""),"",INDEX('Emission factors'!$K$3:$V$379,MATCH($B38&amp;$C38,'Emission factors'!$K$3:$K$379&amp;'Emission factors'!$L$3:$L$379,0),MATCH($G$7,'Emission factors'!$K$2:$V$2,0)))</f>
        <v/>
      </c>
      <c r="H38" s="233" t="str">
        <f t="array" ref="H38">IF(OR(B38="",C38="",OrganisationalWasteTable[[#This Row],[Data]]=""),"",INDEX('Emission factors'!$K$3:$V$379,MATCH($B38&amp;$C38,'Emission factors'!$K$3:$K$379&amp;'Emission factors'!$L$3:$L$379,0),MATCH($H$7,'Emission factors'!$K$2:$V$2,0)))</f>
        <v/>
      </c>
      <c r="I38" s="32" t="str">
        <f>IF(OR(OrganisationalWasteTable[[#This Row],[Waste type]]="",OrganisationalWasteTable[[#This Row],[Converted data]]=""),"",SUM(OrganisationalWasteTable[[#This Row],[Direct]:[Indirect WTT]]))</f>
        <v/>
      </c>
      <c r="J38" s="122"/>
      <c r="K38" s="217" t="str">
        <f t="array" ref="K38">IF(OR($B38="",$D38="",$F38=""),"",(INDEX('Emission factors'!$K$3:$V$379,MATCH($B38&amp;$C38,'Emission factors'!$K$3:$K$379&amp;'Emission factors'!$L$3:$L$379,0),MATCH(K$7,'Emission factors'!$K$2:$V$2,0)))*$F38)</f>
        <v/>
      </c>
      <c r="L38" s="217" t="str">
        <f t="array" ref="L38">IF(OR($B38="",$D38="",$F38=""),"",(INDEX('Emission factors'!$K$3:$V$379,MATCH($B38&amp;$C38,'Emission factors'!$K$3:$K$379&amp;'Emission factors'!$L$3:$L$379,0),MATCH(L$7,'Emission factors'!$K$2:$V$2,0)))*$F38)</f>
        <v/>
      </c>
      <c r="M38" s="217" t="str">
        <f t="array" ref="M38">IF(OR($B38="",$D38="",$F38=""),"",(INDEX('Emission factors'!$K$3:$V$379,MATCH($B38&amp;$C38,'Emission factors'!$K$3:$K$379&amp;'Emission factors'!$L$3:$L$379,0),MATCH(M$7,'Emission factors'!$K$2:$V$2,0)))*$F38)</f>
        <v/>
      </c>
      <c r="N38" s="217" t="str">
        <f t="array" ref="N38">IF(OR($B38="",$D38="",$F38=""),"",(INDEX('Emission factors'!$K$3:$V$379,MATCH($B38&amp;$C38,'Emission factors'!$K$3:$K$379&amp;'Emission factors'!$L$3:$L$379,0),MATCH(N$7,'Emission factors'!$K$2:$V$2,0)))*$F38)</f>
        <v/>
      </c>
      <c r="O38" s="217" t="str">
        <f t="array" ref="O38">IF(OR($B38="",$D38="",$F38=""),"",(INDEX('Emission factors'!$K$3:$V$379,MATCH($B38&amp;$C38,'Emission factors'!$K$3:$K$379&amp;'Emission factors'!$L$3:$L$379,0),MATCH(O$7,'Emission factors'!$K$2:$V$2,0)))*$F38)</f>
        <v/>
      </c>
      <c r="P38" s="224"/>
      <c r="Q38" s="54"/>
      <c r="U38" s="1"/>
      <c r="V38" s="1"/>
      <c r="W38" s="1"/>
    </row>
    <row r="39" spans="2:23" ht="15.75" thickBot="1" x14ac:dyDescent="0.3">
      <c r="B39" s="126"/>
      <c r="C39" s="123"/>
      <c r="D39" s="120"/>
      <c r="E39" s="123"/>
      <c r="F39" s="32" t="str">
        <f t="array" ref="F39">IF(OR($B39="",$C39="",E39=""),"",IF(E39=G39,D39,(INDEX('Emission factors'!$K$3:$V$379,MATCH($B39&amp;$C39,'Emission factors'!$K$3:$K$379&amp;'Emission factors'!$L$3:$L$379,0),MATCH($F$7,'Emission factors'!$K$2:$V$2,0)))*D39))</f>
        <v/>
      </c>
      <c r="G39" s="29" t="str">
        <f t="array" ref="G39">IF(OR($B39="",$D39="",OrganisationalWasteTable[[#This Row],[Units]]=""),"",INDEX('Emission factors'!$K$3:$V$379,MATCH($B39&amp;$C39,'Emission factors'!$K$3:$K$379&amp;'Emission factors'!$L$3:$L$379,0),MATCH($G$7,'Emission factors'!$K$2:$V$2,0)))</f>
        <v/>
      </c>
      <c r="H39" s="233" t="str">
        <f t="array" ref="H39">IF(OR(B39="",C39="",OrganisationalWasteTable[[#This Row],[Data]]=""),"",INDEX('Emission factors'!$K$3:$V$379,MATCH($B39&amp;$C39,'Emission factors'!$K$3:$K$379&amp;'Emission factors'!$L$3:$L$379,0),MATCH($H$7,'Emission factors'!$K$2:$V$2,0)))</f>
        <v/>
      </c>
      <c r="I39" s="32" t="str">
        <f>IF(OR(OrganisationalWasteTable[[#This Row],[Waste type]]="",OrganisationalWasteTable[[#This Row],[Converted data]]=""),"",SUM(OrganisationalWasteTable[[#This Row],[Direct]:[Indirect WTT]]))</f>
        <v/>
      </c>
      <c r="J39" s="122"/>
      <c r="K39" s="217" t="str">
        <f t="array" ref="K39">IF(OR($B39="",$D39="",$F39=""),"",(INDEX('Emission factors'!$K$3:$V$379,MATCH($B39&amp;$C39,'Emission factors'!$K$3:$K$379&amp;'Emission factors'!$L$3:$L$379,0),MATCH(K$7,'Emission factors'!$K$2:$V$2,0)))*$F39)</f>
        <v/>
      </c>
      <c r="L39" s="217" t="str">
        <f t="array" ref="L39">IF(OR($B39="",$D39="",$F39=""),"",(INDEX('Emission factors'!$K$3:$V$379,MATCH($B39&amp;$C39,'Emission factors'!$K$3:$K$379&amp;'Emission factors'!$L$3:$L$379,0),MATCH(L$7,'Emission factors'!$K$2:$V$2,0)))*$F39)</f>
        <v/>
      </c>
      <c r="M39" s="217" t="str">
        <f t="array" ref="M39">IF(OR($B39="",$D39="",$F39=""),"",(INDEX('Emission factors'!$K$3:$V$379,MATCH($B39&amp;$C39,'Emission factors'!$K$3:$K$379&amp;'Emission factors'!$L$3:$L$379,0),MATCH(M$7,'Emission factors'!$K$2:$V$2,0)))*$F39)</f>
        <v/>
      </c>
      <c r="N39" s="217" t="str">
        <f t="array" ref="N39">IF(OR($B39="",$D39="",$F39=""),"",(INDEX('Emission factors'!$K$3:$V$379,MATCH($B39&amp;$C39,'Emission factors'!$K$3:$K$379&amp;'Emission factors'!$L$3:$L$379,0),MATCH(N$7,'Emission factors'!$K$2:$V$2,0)))*$F39)</f>
        <v/>
      </c>
      <c r="O39" s="217" t="str">
        <f t="array" ref="O39">IF(OR($B39="",$D39="",$F39=""),"",(INDEX('Emission factors'!$K$3:$V$379,MATCH($B39&amp;$C39,'Emission factors'!$K$3:$K$379&amp;'Emission factors'!$L$3:$L$379,0),MATCH(O$7,'Emission factors'!$K$2:$V$2,0)))*$F39)</f>
        <v/>
      </c>
      <c r="P39" s="224"/>
      <c r="Q39" s="54"/>
      <c r="U39" s="1"/>
      <c r="V39" s="1"/>
      <c r="W39" s="1"/>
    </row>
    <row r="40" spans="2:23" ht="15.75" thickBot="1" x14ac:dyDescent="0.3">
      <c r="B40" s="126"/>
      <c r="C40" s="123"/>
      <c r="D40" s="120"/>
      <c r="E40" s="123"/>
      <c r="F40" s="32" t="str">
        <f t="array" ref="F40">IF(OR($B40="",$C40="",E40=""),"",IF(E40=G40,D40,(INDEX('Emission factors'!$K$3:$V$379,MATCH($B40&amp;$C40,'Emission factors'!$K$3:$K$379&amp;'Emission factors'!$L$3:$L$379,0),MATCH($F$7,'Emission factors'!$K$2:$V$2,0)))*D40))</f>
        <v/>
      </c>
      <c r="G40" s="29" t="str">
        <f t="array" ref="G40">IF(OR($B40="",$D40="",OrganisationalWasteTable[[#This Row],[Units]]=""),"",INDEX('Emission factors'!$K$3:$V$379,MATCH($B40&amp;$C40,'Emission factors'!$K$3:$K$379&amp;'Emission factors'!$L$3:$L$379,0),MATCH($G$7,'Emission factors'!$K$2:$V$2,0)))</f>
        <v/>
      </c>
      <c r="H40" s="233" t="str">
        <f t="array" ref="H40">IF(OR(B40="",C40="",OrganisationalWasteTable[[#This Row],[Data]]=""),"",INDEX('Emission factors'!$K$3:$V$379,MATCH($B40&amp;$C40,'Emission factors'!$K$3:$K$379&amp;'Emission factors'!$L$3:$L$379,0),MATCH($H$7,'Emission factors'!$K$2:$V$2,0)))</f>
        <v/>
      </c>
      <c r="I40" s="32" t="str">
        <f>IF(OR(OrganisationalWasteTable[[#This Row],[Waste type]]="",OrganisationalWasteTable[[#This Row],[Converted data]]=""),"",SUM(OrganisationalWasteTable[[#This Row],[Direct]:[Indirect WTT]]))</f>
        <v/>
      </c>
      <c r="J40" s="122"/>
      <c r="K40" s="217" t="str">
        <f t="array" ref="K40">IF(OR($B40="",$D40="",$F40=""),"",(INDEX('Emission factors'!$K$3:$V$379,MATCH($B40&amp;$C40,'Emission factors'!$K$3:$K$379&amp;'Emission factors'!$L$3:$L$379,0),MATCH(K$7,'Emission factors'!$K$2:$V$2,0)))*$F40)</f>
        <v/>
      </c>
      <c r="L40" s="217" t="str">
        <f t="array" ref="L40">IF(OR($B40="",$D40="",$F40=""),"",(INDEX('Emission factors'!$K$3:$V$379,MATCH($B40&amp;$C40,'Emission factors'!$K$3:$K$379&amp;'Emission factors'!$L$3:$L$379,0),MATCH(L$7,'Emission factors'!$K$2:$V$2,0)))*$F40)</f>
        <v/>
      </c>
      <c r="M40" s="217" t="str">
        <f t="array" ref="M40">IF(OR($B40="",$D40="",$F40=""),"",(INDEX('Emission factors'!$K$3:$V$379,MATCH($B40&amp;$C40,'Emission factors'!$K$3:$K$379&amp;'Emission factors'!$L$3:$L$379,0),MATCH(M$7,'Emission factors'!$K$2:$V$2,0)))*$F40)</f>
        <v/>
      </c>
      <c r="N40" s="217" t="str">
        <f t="array" ref="N40">IF(OR($B40="",$D40="",$F40=""),"",(INDEX('Emission factors'!$K$3:$V$379,MATCH($B40&amp;$C40,'Emission factors'!$K$3:$K$379&amp;'Emission factors'!$L$3:$L$379,0),MATCH(N$7,'Emission factors'!$K$2:$V$2,0)))*$F40)</f>
        <v/>
      </c>
      <c r="O40" s="217" t="str">
        <f t="array" ref="O40">IF(OR($B40="",$D40="",$F40=""),"",(INDEX('Emission factors'!$K$3:$V$379,MATCH($B40&amp;$C40,'Emission factors'!$K$3:$K$379&amp;'Emission factors'!$L$3:$L$379,0),MATCH(O$7,'Emission factors'!$K$2:$V$2,0)))*$F40)</f>
        <v/>
      </c>
      <c r="P40" s="224"/>
      <c r="Q40" s="54"/>
      <c r="U40" s="1"/>
      <c r="V40" s="1"/>
      <c r="W40" s="1"/>
    </row>
    <row r="41" spans="2:23" ht="15.75" thickBot="1" x14ac:dyDescent="0.3">
      <c r="B41" s="126"/>
      <c r="C41" s="123"/>
      <c r="D41" s="120"/>
      <c r="E41" s="123"/>
      <c r="F41" s="32" t="str">
        <f t="array" ref="F41">IF(OR($B41="",$C41="",E41=""),"",IF(E41=G41,D41,(INDEX('Emission factors'!$K$3:$V$379,MATCH($B41&amp;$C41,'Emission factors'!$K$3:$K$379&amp;'Emission factors'!$L$3:$L$379,0),MATCH($F$7,'Emission factors'!$K$2:$V$2,0)))*D41))</f>
        <v/>
      </c>
      <c r="G41" s="29" t="str">
        <f t="array" ref="G41">IF(OR($B41="",$D41="",OrganisationalWasteTable[[#This Row],[Units]]=""),"",INDEX('Emission factors'!$K$3:$V$379,MATCH($B41&amp;$C41,'Emission factors'!$K$3:$K$379&amp;'Emission factors'!$L$3:$L$379,0),MATCH($G$7,'Emission factors'!$K$2:$V$2,0)))</f>
        <v/>
      </c>
      <c r="H41" s="233" t="str">
        <f t="array" ref="H41">IF(OR(B41="",C41="",OrganisationalWasteTable[[#This Row],[Data]]=""),"",INDEX('Emission factors'!$K$3:$V$379,MATCH($B41&amp;$C41,'Emission factors'!$K$3:$K$379&amp;'Emission factors'!$L$3:$L$379,0),MATCH($H$7,'Emission factors'!$K$2:$V$2,0)))</f>
        <v/>
      </c>
      <c r="I41" s="32" t="str">
        <f>IF(OR(OrganisationalWasteTable[[#This Row],[Waste type]]="",OrganisationalWasteTable[[#This Row],[Converted data]]=""),"",SUM(OrganisationalWasteTable[[#This Row],[Direct]:[Indirect WTT]]))</f>
        <v/>
      </c>
      <c r="J41" s="122"/>
      <c r="K41" s="217" t="str">
        <f t="array" ref="K41">IF(OR($B41="",$D41="",$F41=""),"",(INDEX('Emission factors'!$K$3:$V$379,MATCH($B41&amp;$C41,'Emission factors'!$K$3:$K$379&amp;'Emission factors'!$L$3:$L$379,0),MATCH(K$7,'Emission factors'!$K$2:$V$2,0)))*$F41)</f>
        <v/>
      </c>
      <c r="L41" s="217" t="str">
        <f t="array" ref="L41">IF(OR($B41="",$D41="",$F41=""),"",(INDEX('Emission factors'!$K$3:$V$379,MATCH($B41&amp;$C41,'Emission factors'!$K$3:$K$379&amp;'Emission factors'!$L$3:$L$379,0),MATCH(L$7,'Emission factors'!$K$2:$V$2,0)))*$F41)</f>
        <v/>
      </c>
      <c r="M41" s="217" t="str">
        <f t="array" ref="M41">IF(OR($B41="",$D41="",$F41=""),"",(INDEX('Emission factors'!$K$3:$V$379,MATCH($B41&amp;$C41,'Emission factors'!$K$3:$K$379&amp;'Emission factors'!$L$3:$L$379,0),MATCH(M$7,'Emission factors'!$K$2:$V$2,0)))*$F41)</f>
        <v/>
      </c>
      <c r="N41" s="217" t="str">
        <f t="array" ref="N41">IF(OR($B41="",$D41="",$F41=""),"",(INDEX('Emission factors'!$K$3:$V$379,MATCH($B41&amp;$C41,'Emission factors'!$K$3:$K$379&amp;'Emission factors'!$L$3:$L$379,0),MATCH(N$7,'Emission factors'!$K$2:$V$2,0)))*$F41)</f>
        <v/>
      </c>
      <c r="O41" s="217" t="str">
        <f t="array" ref="O41">IF(OR($B41="",$D41="",$F41=""),"",(INDEX('Emission factors'!$K$3:$V$379,MATCH($B41&amp;$C41,'Emission factors'!$K$3:$K$379&amp;'Emission factors'!$L$3:$L$379,0),MATCH(O$7,'Emission factors'!$K$2:$V$2,0)))*$F41)</f>
        <v/>
      </c>
      <c r="P41" s="224"/>
      <c r="Q41" s="54"/>
      <c r="U41" s="1"/>
      <c r="V41" s="1"/>
      <c r="W41" s="1"/>
    </row>
    <row r="42" spans="2:23" ht="15.75" thickBot="1" x14ac:dyDescent="0.3">
      <c r="B42" s="126"/>
      <c r="C42" s="123"/>
      <c r="D42" s="120"/>
      <c r="E42" s="123"/>
      <c r="F42" s="32" t="str">
        <f t="array" ref="F42">IF(OR($B42="",$C42="",E42=""),"",IF(E42=G42,D42,(INDEX('Emission factors'!$K$3:$V$379,MATCH($B42&amp;$C42,'Emission factors'!$K$3:$K$379&amp;'Emission factors'!$L$3:$L$379,0),MATCH($F$7,'Emission factors'!$K$2:$V$2,0)))*D42))</f>
        <v/>
      </c>
      <c r="G42" s="29" t="str">
        <f t="array" ref="G42">IF(OR($B42="",$D42="",OrganisationalWasteTable[[#This Row],[Units]]=""),"",INDEX('Emission factors'!$K$3:$V$379,MATCH($B42&amp;$C42,'Emission factors'!$K$3:$K$379&amp;'Emission factors'!$L$3:$L$379,0),MATCH($G$7,'Emission factors'!$K$2:$V$2,0)))</f>
        <v/>
      </c>
      <c r="H42" s="233" t="str">
        <f t="array" ref="H42">IF(OR(B42="",C42="",OrganisationalWasteTable[[#This Row],[Data]]=""),"",INDEX('Emission factors'!$K$3:$V$379,MATCH($B42&amp;$C42,'Emission factors'!$K$3:$K$379&amp;'Emission factors'!$L$3:$L$379,0),MATCH($H$7,'Emission factors'!$K$2:$V$2,0)))</f>
        <v/>
      </c>
      <c r="I42" s="32" t="str">
        <f>IF(OR(OrganisationalWasteTable[[#This Row],[Waste type]]="",OrganisationalWasteTable[[#This Row],[Converted data]]=""),"",SUM(OrganisationalWasteTable[[#This Row],[Direct]:[Indirect WTT]]))</f>
        <v/>
      </c>
      <c r="J42" s="122"/>
      <c r="K42" s="217" t="str">
        <f t="array" ref="K42">IF(OR($B42="",$D42="",$F42=""),"",(INDEX('Emission factors'!$K$3:$V$379,MATCH($B42&amp;$C42,'Emission factors'!$K$3:$K$379&amp;'Emission factors'!$L$3:$L$379,0),MATCH(K$7,'Emission factors'!$K$2:$V$2,0)))*$F42)</f>
        <v/>
      </c>
      <c r="L42" s="217" t="str">
        <f t="array" ref="L42">IF(OR($B42="",$D42="",$F42=""),"",(INDEX('Emission factors'!$K$3:$V$379,MATCH($B42&amp;$C42,'Emission factors'!$K$3:$K$379&amp;'Emission factors'!$L$3:$L$379,0),MATCH(L$7,'Emission factors'!$K$2:$V$2,0)))*$F42)</f>
        <v/>
      </c>
      <c r="M42" s="217" t="str">
        <f t="array" ref="M42">IF(OR($B42="",$D42="",$F42=""),"",(INDEX('Emission factors'!$K$3:$V$379,MATCH($B42&amp;$C42,'Emission factors'!$K$3:$K$379&amp;'Emission factors'!$L$3:$L$379,0),MATCH(M$7,'Emission factors'!$K$2:$V$2,0)))*$F42)</f>
        <v/>
      </c>
      <c r="N42" s="217" t="str">
        <f t="array" ref="N42">IF(OR($B42="",$D42="",$F42=""),"",(INDEX('Emission factors'!$K$3:$V$379,MATCH($B42&amp;$C42,'Emission factors'!$K$3:$K$379&amp;'Emission factors'!$L$3:$L$379,0),MATCH(N$7,'Emission factors'!$K$2:$V$2,0)))*$F42)</f>
        <v/>
      </c>
      <c r="O42" s="217" t="str">
        <f t="array" ref="O42">IF(OR($B42="",$D42="",$F42=""),"",(INDEX('Emission factors'!$K$3:$V$379,MATCH($B42&amp;$C42,'Emission factors'!$K$3:$K$379&amp;'Emission factors'!$L$3:$L$379,0),MATCH(O$7,'Emission factors'!$K$2:$V$2,0)))*$F42)</f>
        <v/>
      </c>
      <c r="P42" s="224"/>
      <c r="Q42" s="54"/>
      <c r="U42" s="1"/>
      <c r="V42" s="1"/>
      <c r="W42" s="1"/>
    </row>
    <row r="43" spans="2:23" ht="15.75" thickBot="1" x14ac:dyDescent="0.3">
      <c r="B43" s="126"/>
      <c r="C43" s="123"/>
      <c r="D43" s="120"/>
      <c r="E43" s="123"/>
      <c r="F43" s="32" t="str">
        <f t="array" ref="F43">IF(OR($B43="",$C43="",E43=""),"",IF(E43=G43,D43,(INDEX('Emission factors'!$K$3:$V$379,MATCH($B43&amp;$C43,'Emission factors'!$K$3:$K$379&amp;'Emission factors'!$L$3:$L$379,0),MATCH($F$7,'Emission factors'!$K$2:$V$2,0)))*D43))</f>
        <v/>
      </c>
      <c r="G43" s="29" t="str">
        <f t="array" ref="G43">IF(OR($B43="",$D43="",OrganisationalWasteTable[[#This Row],[Units]]=""),"",INDEX('Emission factors'!$K$3:$V$379,MATCH($B43&amp;$C43,'Emission factors'!$K$3:$K$379&amp;'Emission factors'!$L$3:$L$379,0),MATCH($G$7,'Emission factors'!$K$2:$V$2,0)))</f>
        <v/>
      </c>
      <c r="H43" s="233" t="str">
        <f t="array" ref="H43">IF(OR(B43="",C43="",OrganisationalWasteTable[[#This Row],[Data]]=""),"",INDEX('Emission factors'!$K$3:$V$379,MATCH($B43&amp;$C43,'Emission factors'!$K$3:$K$379&amp;'Emission factors'!$L$3:$L$379,0),MATCH($H$7,'Emission factors'!$K$2:$V$2,0)))</f>
        <v/>
      </c>
      <c r="I43" s="32" t="str">
        <f>IF(OR(OrganisationalWasteTable[[#This Row],[Waste type]]="",OrganisationalWasteTable[[#This Row],[Converted data]]=""),"",SUM(OrganisationalWasteTable[[#This Row],[Direct]:[Indirect WTT]]))</f>
        <v/>
      </c>
      <c r="J43" s="122"/>
      <c r="K43" s="217" t="str">
        <f t="array" ref="K43">IF(OR($B43="",$D43="",$F43=""),"",(INDEX('Emission factors'!$K$3:$V$379,MATCH($B43&amp;$C43,'Emission factors'!$K$3:$K$379&amp;'Emission factors'!$L$3:$L$379,0),MATCH(K$7,'Emission factors'!$K$2:$V$2,0)))*$F43)</f>
        <v/>
      </c>
      <c r="L43" s="217" t="str">
        <f t="array" ref="L43">IF(OR($B43="",$D43="",$F43=""),"",(INDEX('Emission factors'!$K$3:$V$379,MATCH($B43&amp;$C43,'Emission factors'!$K$3:$K$379&amp;'Emission factors'!$L$3:$L$379,0),MATCH(L$7,'Emission factors'!$K$2:$V$2,0)))*$F43)</f>
        <v/>
      </c>
      <c r="M43" s="217" t="str">
        <f t="array" ref="M43">IF(OR($B43="",$D43="",$F43=""),"",(INDEX('Emission factors'!$K$3:$V$379,MATCH($B43&amp;$C43,'Emission factors'!$K$3:$K$379&amp;'Emission factors'!$L$3:$L$379,0),MATCH(M$7,'Emission factors'!$K$2:$V$2,0)))*$F43)</f>
        <v/>
      </c>
      <c r="N43" s="217" t="str">
        <f t="array" ref="N43">IF(OR($B43="",$D43="",$F43=""),"",(INDEX('Emission factors'!$K$3:$V$379,MATCH($B43&amp;$C43,'Emission factors'!$K$3:$K$379&amp;'Emission factors'!$L$3:$L$379,0),MATCH(N$7,'Emission factors'!$K$2:$V$2,0)))*$F43)</f>
        <v/>
      </c>
      <c r="O43" s="217" t="str">
        <f t="array" ref="O43">IF(OR($B43="",$D43="",$F43=""),"",(INDEX('Emission factors'!$K$3:$V$379,MATCH($B43&amp;$C43,'Emission factors'!$K$3:$K$379&amp;'Emission factors'!$L$3:$L$379,0),MATCH(O$7,'Emission factors'!$K$2:$V$2,0)))*$F43)</f>
        <v/>
      </c>
      <c r="P43" s="224"/>
      <c r="Q43" s="54"/>
      <c r="U43" s="1"/>
      <c r="V43" s="1"/>
      <c r="W43" s="1"/>
    </row>
    <row r="44" spans="2:23" ht="15.75" thickBot="1" x14ac:dyDescent="0.3">
      <c r="B44" s="126"/>
      <c r="C44" s="123"/>
      <c r="D44" s="120"/>
      <c r="E44" s="123"/>
      <c r="F44" s="32" t="str">
        <f t="array" ref="F44">IF(OR($B44="",$C44="",E44=""),"",IF(E44=G44,D44,(INDEX('Emission factors'!$K$3:$V$379,MATCH($B44&amp;$C44,'Emission factors'!$K$3:$K$379&amp;'Emission factors'!$L$3:$L$379,0),MATCH($F$7,'Emission factors'!$K$2:$V$2,0)))*D44))</f>
        <v/>
      </c>
      <c r="G44" s="29" t="str">
        <f t="array" ref="G44">IF(OR($B44="",$D44="",OrganisationalWasteTable[[#This Row],[Units]]=""),"",INDEX('Emission factors'!$K$3:$V$379,MATCH($B44&amp;$C44,'Emission factors'!$K$3:$K$379&amp;'Emission factors'!$L$3:$L$379,0),MATCH($G$7,'Emission factors'!$K$2:$V$2,0)))</f>
        <v/>
      </c>
      <c r="H44" s="233" t="str">
        <f t="array" ref="H44">IF(OR(B44="",C44="",OrganisationalWasteTable[[#This Row],[Data]]=""),"",INDEX('Emission factors'!$K$3:$V$379,MATCH($B44&amp;$C44,'Emission factors'!$K$3:$K$379&amp;'Emission factors'!$L$3:$L$379,0),MATCH($H$7,'Emission factors'!$K$2:$V$2,0)))</f>
        <v/>
      </c>
      <c r="I44" s="32" t="str">
        <f>IF(OR(OrganisationalWasteTable[[#This Row],[Waste type]]="",OrganisationalWasteTable[[#This Row],[Converted data]]=""),"",SUM(OrganisationalWasteTable[[#This Row],[Direct]:[Indirect WTT]]))</f>
        <v/>
      </c>
      <c r="J44" s="122"/>
      <c r="K44" s="217" t="str">
        <f t="array" ref="K44">IF(OR($B44="",$D44="",$F44=""),"",(INDEX('Emission factors'!$K$3:$V$379,MATCH($B44&amp;$C44,'Emission factors'!$K$3:$K$379&amp;'Emission factors'!$L$3:$L$379,0),MATCH(K$7,'Emission factors'!$K$2:$V$2,0)))*$F44)</f>
        <v/>
      </c>
      <c r="L44" s="217" t="str">
        <f t="array" ref="L44">IF(OR($B44="",$D44="",$F44=""),"",(INDEX('Emission factors'!$K$3:$V$379,MATCH($B44&amp;$C44,'Emission factors'!$K$3:$K$379&amp;'Emission factors'!$L$3:$L$379,0),MATCH(L$7,'Emission factors'!$K$2:$V$2,0)))*$F44)</f>
        <v/>
      </c>
      <c r="M44" s="217" t="str">
        <f t="array" ref="M44">IF(OR($B44="",$D44="",$F44=""),"",(INDEX('Emission factors'!$K$3:$V$379,MATCH($B44&amp;$C44,'Emission factors'!$K$3:$K$379&amp;'Emission factors'!$L$3:$L$379,0),MATCH(M$7,'Emission factors'!$K$2:$V$2,0)))*$F44)</f>
        <v/>
      </c>
      <c r="N44" s="217" t="str">
        <f t="array" ref="N44">IF(OR($B44="",$D44="",$F44=""),"",(INDEX('Emission factors'!$K$3:$V$379,MATCH($B44&amp;$C44,'Emission factors'!$K$3:$K$379&amp;'Emission factors'!$L$3:$L$379,0),MATCH(N$7,'Emission factors'!$K$2:$V$2,0)))*$F44)</f>
        <v/>
      </c>
      <c r="O44" s="217" t="str">
        <f t="array" ref="O44">IF(OR($B44="",$D44="",$F44=""),"",(INDEX('Emission factors'!$K$3:$V$379,MATCH($B44&amp;$C44,'Emission factors'!$K$3:$K$379&amp;'Emission factors'!$L$3:$L$379,0),MATCH(O$7,'Emission factors'!$K$2:$V$2,0)))*$F44)</f>
        <v/>
      </c>
      <c r="P44" s="224"/>
      <c r="Q44" s="54"/>
      <c r="U44" s="1"/>
      <c r="V44" s="1"/>
      <c r="W44" s="1"/>
    </row>
    <row r="45" spans="2:23" ht="15.75" thickBot="1" x14ac:dyDescent="0.3">
      <c r="B45" s="126"/>
      <c r="C45" s="123"/>
      <c r="D45" s="120"/>
      <c r="E45" s="123"/>
      <c r="F45" s="32" t="str">
        <f t="array" ref="F45">IF(OR($B45="",$C45="",E45=""),"",IF(E45=G45,D45,(INDEX('Emission factors'!$K$3:$V$379,MATCH($B45&amp;$C45,'Emission factors'!$K$3:$K$379&amp;'Emission factors'!$L$3:$L$379,0),MATCH($F$7,'Emission factors'!$K$2:$V$2,0)))*D45))</f>
        <v/>
      </c>
      <c r="G45" s="29" t="str">
        <f t="array" ref="G45">IF(OR($B45="",$D45="",OrganisationalWasteTable[[#This Row],[Units]]=""),"",INDEX('Emission factors'!$K$3:$V$379,MATCH($B45&amp;$C45,'Emission factors'!$K$3:$K$379&amp;'Emission factors'!$L$3:$L$379,0),MATCH($G$7,'Emission factors'!$K$2:$V$2,0)))</f>
        <v/>
      </c>
      <c r="H45" s="233" t="str">
        <f t="array" ref="H45">IF(OR(B45="",C45="",OrganisationalWasteTable[[#This Row],[Data]]=""),"",INDEX('Emission factors'!$K$3:$V$379,MATCH($B45&amp;$C45,'Emission factors'!$K$3:$K$379&amp;'Emission factors'!$L$3:$L$379,0),MATCH($H$7,'Emission factors'!$K$2:$V$2,0)))</f>
        <v/>
      </c>
      <c r="I45" s="32" t="str">
        <f>IF(OR(OrganisationalWasteTable[[#This Row],[Waste type]]="",OrganisationalWasteTable[[#This Row],[Converted data]]=""),"",SUM(OrganisationalWasteTable[[#This Row],[Direct]:[Indirect WTT]]))</f>
        <v/>
      </c>
      <c r="J45" s="122"/>
      <c r="K45" s="217" t="str">
        <f t="array" ref="K45">IF(OR($B45="",$D45="",$F45=""),"",(INDEX('Emission factors'!$K$3:$V$379,MATCH($B45&amp;$C45,'Emission factors'!$K$3:$K$379&amp;'Emission factors'!$L$3:$L$379,0),MATCH(K$7,'Emission factors'!$K$2:$V$2,0)))*$F45)</f>
        <v/>
      </c>
      <c r="L45" s="217" t="str">
        <f t="array" ref="L45">IF(OR($B45="",$D45="",$F45=""),"",(INDEX('Emission factors'!$K$3:$V$379,MATCH($B45&amp;$C45,'Emission factors'!$K$3:$K$379&amp;'Emission factors'!$L$3:$L$379,0),MATCH(L$7,'Emission factors'!$K$2:$V$2,0)))*$F45)</f>
        <v/>
      </c>
      <c r="M45" s="217" t="str">
        <f t="array" ref="M45">IF(OR($B45="",$D45="",$F45=""),"",(INDEX('Emission factors'!$K$3:$V$379,MATCH($B45&amp;$C45,'Emission factors'!$K$3:$K$379&amp;'Emission factors'!$L$3:$L$379,0),MATCH(M$7,'Emission factors'!$K$2:$V$2,0)))*$F45)</f>
        <v/>
      </c>
      <c r="N45" s="217" t="str">
        <f t="array" ref="N45">IF(OR($B45="",$D45="",$F45=""),"",(INDEX('Emission factors'!$K$3:$V$379,MATCH($B45&amp;$C45,'Emission factors'!$K$3:$K$379&amp;'Emission factors'!$L$3:$L$379,0),MATCH(N$7,'Emission factors'!$K$2:$V$2,0)))*$F45)</f>
        <v/>
      </c>
      <c r="O45" s="217" t="str">
        <f t="array" ref="O45">IF(OR($B45="",$D45="",$F45=""),"",(INDEX('Emission factors'!$K$3:$V$379,MATCH($B45&amp;$C45,'Emission factors'!$K$3:$K$379&amp;'Emission factors'!$L$3:$L$379,0),MATCH(O$7,'Emission factors'!$K$2:$V$2,0)))*$F45)</f>
        <v/>
      </c>
      <c r="P45" s="224"/>
      <c r="Q45" s="54"/>
      <c r="U45" s="1"/>
      <c r="V45" s="1"/>
      <c r="W45" s="1"/>
    </row>
    <row r="46" spans="2:23" ht="15.75" thickBot="1" x14ac:dyDescent="0.3">
      <c r="B46" s="126"/>
      <c r="C46" s="123"/>
      <c r="D46" s="120"/>
      <c r="E46" s="123"/>
      <c r="F46" s="32" t="str">
        <f t="array" ref="F46">IF(OR($B46="",$C46="",E46=""),"",IF(E46=G46,D46,(INDEX('Emission factors'!$K$3:$V$379,MATCH($B46&amp;$C46,'Emission factors'!$K$3:$K$379&amp;'Emission factors'!$L$3:$L$379,0),MATCH($F$7,'Emission factors'!$K$2:$V$2,0)))*D46))</f>
        <v/>
      </c>
      <c r="G46" s="29" t="str">
        <f t="array" ref="G46">IF(OR($B46="",$D46="",OrganisationalWasteTable[[#This Row],[Units]]=""),"",INDEX('Emission factors'!$K$3:$V$379,MATCH($B46&amp;$C46,'Emission factors'!$K$3:$K$379&amp;'Emission factors'!$L$3:$L$379,0),MATCH($G$7,'Emission factors'!$K$2:$V$2,0)))</f>
        <v/>
      </c>
      <c r="H46" s="233" t="str">
        <f t="array" ref="H46">IF(OR(B46="",C46="",OrganisationalWasteTable[[#This Row],[Data]]=""),"",INDEX('Emission factors'!$K$3:$V$379,MATCH($B46&amp;$C46,'Emission factors'!$K$3:$K$379&amp;'Emission factors'!$L$3:$L$379,0),MATCH($H$7,'Emission factors'!$K$2:$V$2,0)))</f>
        <v/>
      </c>
      <c r="I46" s="32" t="str">
        <f>IF(OR(OrganisationalWasteTable[[#This Row],[Waste type]]="",OrganisationalWasteTable[[#This Row],[Converted data]]=""),"",SUM(OrganisationalWasteTable[[#This Row],[Direct]:[Indirect WTT]]))</f>
        <v/>
      </c>
      <c r="J46" s="122"/>
      <c r="K46" s="217" t="str">
        <f t="array" ref="K46">IF(OR($B46="",$D46="",$F46=""),"",(INDEX('Emission factors'!$K$3:$V$379,MATCH($B46&amp;$C46,'Emission factors'!$K$3:$K$379&amp;'Emission factors'!$L$3:$L$379,0),MATCH(K$7,'Emission factors'!$K$2:$V$2,0)))*$F46)</f>
        <v/>
      </c>
      <c r="L46" s="217" t="str">
        <f t="array" ref="L46">IF(OR($B46="",$D46="",$F46=""),"",(INDEX('Emission factors'!$K$3:$V$379,MATCH($B46&amp;$C46,'Emission factors'!$K$3:$K$379&amp;'Emission factors'!$L$3:$L$379,0),MATCH(L$7,'Emission factors'!$K$2:$V$2,0)))*$F46)</f>
        <v/>
      </c>
      <c r="M46" s="217" t="str">
        <f t="array" ref="M46">IF(OR($B46="",$D46="",$F46=""),"",(INDEX('Emission factors'!$K$3:$V$379,MATCH($B46&amp;$C46,'Emission factors'!$K$3:$K$379&amp;'Emission factors'!$L$3:$L$379,0),MATCH(M$7,'Emission factors'!$K$2:$V$2,0)))*$F46)</f>
        <v/>
      </c>
      <c r="N46" s="217" t="str">
        <f t="array" ref="N46">IF(OR($B46="",$D46="",$F46=""),"",(INDEX('Emission factors'!$K$3:$V$379,MATCH($B46&amp;$C46,'Emission factors'!$K$3:$K$379&amp;'Emission factors'!$L$3:$L$379,0),MATCH(N$7,'Emission factors'!$K$2:$V$2,0)))*$F46)</f>
        <v/>
      </c>
      <c r="O46" s="217" t="str">
        <f t="array" ref="O46">IF(OR($B46="",$D46="",$F46=""),"",(INDEX('Emission factors'!$K$3:$V$379,MATCH($B46&amp;$C46,'Emission factors'!$K$3:$K$379&amp;'Emission factors'!$L$3:$L$379,0),MATCH(O$7,'Emission factors'!$K$2:$V$2,0)))*$F46)</f>
        <v/>
      </c>
      <c r="P46" s="224"/>
      <c r="Q46" s="54"/>
      <c r="U46" s="1"/>
      <c r="V46" s="1"/>
      <c r="W46" s="1"/>
    </row>
    <row r="47" spans="2:23" ht="15.75" thickBot="1" x14ac:dyDescent="0.3">
      <c r="B47" s="126"/>
      <c r="C47" s="123"/>
      <c r="D47" s="120"/>
      <c r="E47" s="123"/>
      <c r="F47" s="32" t="str">
        <f t="array" ref="F47">IF(OR($B47="",$C47="",E47=""),"",IF(E47=G47,D47,(INDEX('Emission factors'!$K$3:$V$379,MATCH($B47&amp;$C47,'Emission factors'!$K$3:$K$379&amp;'Emission factors'!$L$3:$L$379,0),MATCH($F$7,'Emission factors'!$K$2:$V$2,0)))*D47))</f>
        <v/>
      </c>
      <c r="G47" s="29" t="str">
        <f t="array" ref="G47">IF(OR($B47="",$D47="",OrganisationalWasteTable[[#This Row],[Units]]=""),"",INDEX('Emission factors'!$K$3:$V$379,MATCH($B47&amp;$C47,'Emission factors'!$K$3:$K$379&amp;'Emission factors'!$L$3:$L$379,0),MATCH($G$7,'Emission factors'!$K$2:$V$2,0)))</f>
        <v/>
      </c>
      <c r="H47" s="233" t="str">
        <f t="array" ref="H47">IF(OR(B47="",C47="",OrganisationalWasteTable[[#This Row],[Data]]=""),"",INDEX('Emission factors'!$K$3:$V$379,MATCH($B47&amp;$C47,'Emission factors'!$K$3:$K$379&amp;'Emission factors'!$L$3:$L$379,0),MATCH($H$7,'Emission factors'!$K$2:$V$2,0)))</f>
        <v/>
      </c>
      <c r="I47" s="32" t="str">
        <f>IF(OR(OrganisationalWasteTable[[#This Row],[Waste type]]="",OrganisationalWasteTable[[#This Row],[Converted data]]=""),"",SUM(OrganisationalWasteTable[[#This Row],[Direct]:[Indirect WTT]]))</f>
        <v/>
      </c>
      <c r="J47" s="122"/>
      <c r="K47" s="217" t="str">
        <f t="array" ref="K47">IF(OR($B47="",$D47="",$F47=""),"",(INDEX('Emission factors'!$K$3:$V$379,MATCH($B47&amp;$C47,'Emission factors'!$K$3:$K$379&amp;'Emission factors'!$L$3:$L$379,0),MATCH(K$7,'Emission factors'!$K$2:$V$2,0)))*$F47)</f>
        <v/>
      </c>
      <c r="L47" s="217" t="str">
        <f t="array" ref="L47">IF(OR($B47="",$D47="",$F47=""),"",(INDEX('Emission factors'!$K$3:$V$379,MATCH($B47&amp;$C47,'Emission factors'!$K$3:$K$379&amp;'Emission factors'!$L$3:$L$379,0),MATCH(L$7,'Emission factors'!$K$2:$V$2,0)))*$F47)</f>
        <v/>
      </c>
      <c r="M47" s="217" t="str">
        <f t="array" ref="M47">IF(OR($B47="",$D47="",$F47=""),"",(INDEX('Emission factors'!$K$3:$V$379,MATCH($B47&amp;$C47,'Emission factors'!$K$3:$K$379&amp;'Emission factors'!$L$3:$L$379,0),MATCH(M$7,'Emission factors'!$K$2:$V$2,0)))*$F47)</f>
        <v/>
      </c>
      <c r="N47" s="217" t="str">
        <f t="array" ref="N47">IF(OR($B47="",$D47="",$F47=""),"",(INDEX('Emission factors'!$K$3:$V$379,MATCH($B47&amp;$C47,'Emission factors'!$K$3:$K$379&amp;'Emission factors'!$L$3:$L$379,0),MATCH(N$7,'Emission factors'!$K$2:$V$2,0)))*$F47)</f>
        <v/>
      </c>
      <c r="O47" s="217" t="str">
        <f t="array" ref="O47">IF(OR($B47="",$D47="",$F47=""),"",(INDEX('Emission factors'!$K$3:$V$379,MATCH($B47&amp;$C47,'Emission factors'!$K$3:$K$379&amp;'Emission factors'!$L$3:$L$379,0),MATCH(O$7,'Emission factors'!$K$2:$V$2,0)))*$F47)</f>
        <v/>
      </c>
      <c r="P47" s="224"/>
      <c r="Q47" s="54"/>
      <c r="U47" s="1"/>
      <c r="V47" s="1"/>
      <c r="W47" s="1"/>
    </row>
    <row r="48" spans="2:23" ht="15.75" thickBot="1" x14ac:dyDescent="0.3">
      <c r="B48" s="126"/>
      <c r="C48" s="151"/>
      <c r="D48" s="120"/>
      <c r="E48" s="151"/>
      <c r="F48" s="32" t="str">
        <f t="array" ref="F48">IF(OR($B48="",$C48="",E48=""),"",IF(E48=G48,D48,(INDEX('Emission factors'!$K$3:$V$379,MATCH($B48&amp;$C48,'Emission factors'!$K$3:$K$379&amp;'Emission factors'!$L$3:$L$379,0),MATCH($F$7,'Emission factors'!$K$2:$V$2,0)))*D48))</f>
        <v/>
      </c>
      <c r="G48" s="29" t="str">
        <f t="array" ref="G48">IF(OR($B48="",$D48="",OrganisationalWasteTable[[#This Row],[Units]]=""),"",INDEX('Emission factors'!$K$3:$V$379,MATCH($B48&amp;$C48,'Emission factors'!$K$3:$K$379&amp;'Emission factors'!$L$3:$L$379,0),MATCH($G$7,'Emission factors'!$K$2:$V$2,0)))</f>
        <v/>
      </c>
      <c r="H48" s="29" t="str">
        <f t="array" ref="H48">IF(OR(B48="",C48="",OrganisationalWasteTable[[#This Row],[Data]]=""),"",INDEX('Emission factors'!$K$3:$V$379,MATCH($B48&amp;$C48,'Emission factors'!$K$3:$K$379&amp;'Emission factors'!$L$3:$L$379,0),MATCH($H$7,'Emission factors'!$K$2:$V$2,0)))</f>
        <v/>
      </c>
      <c r="I48" s="32" t="str">
        <f>IF(OR(OrganisationalWasteTable[[#This Row],[Waste type]]="",OrganisationalWasteTable[[#This Row],[Converted data]]=""),"",SUM(OrganisationalWasteTable[[#This Row],[Direct]:[Indirect WTT]]))</f>
        <v/>
      </c>
      <c r="J48" s="124"/>
      <c r="K48" s="217" t="str">
        <f t="array" ref="K48">IF(OR($B48="",$D48="",$F48=""),"",(INDEX('Emission factors'!$K$3:$V$379,MATCH($B48&amp;$C48,'Emission factors'!$K$3:$K$379&amp;'Emission factors'!$L$3:$L$379,0),MATCH(K$7,'Emission factors'!$K$2:$V$2,0)))*$F48)</f>
        <v/>
      </c>
      <c r="L48" s="217" t="str">
        <f t="array" ref="L48">IF(OR($B48="",$D48="",$F48=""),"",(INDEX('Emission factors'!$K$3:$V$379,MATCH($B48&amp;$C48,'Emission factors'!$K$3:$K$379&amp;'Emission factors'!$L$3:$L$379,0),MATCH(L$7,'Emission factors'!$K$2:$V$2,0)))*$F48)</f>
        <v/>
      </c>
      <c r="M48" s="217" t="str">
        <f t="array" ref="M48">IF(OR($B48="",$D48="",$F48=""),"",(INDEX('Emission factors'!$K$3:$V$379,MATCH($B48&amp;$C48,'Emission factors'!$K$3:$K$379&amp;'Emission factors'!$L$3:$L$379,0),MATCH(M$7,'Emission factors'!$K$2:$V$2,0)))*$F48)</f>
        <v/>
      </c>
      <c r="N48" s="217" t="str">
        <f t="array" ref="N48">IF(OR($B48="",$D48="",$F48=""),"",(INDEX('Emission factors'!$K$3:$V$379,MATCH($B48&amp;$C48,'Emission factors'!$K$3:$K$379&amp;'Emission factors'!$L$3:$L$379,0),MATCH(N$7,'Emission factors'!$K$2:$V$2,0)))*$F48)</f>
        <v/>
      </c>
      <c r="O48" s="217" t="str">
        <f t="array" ref="O48">IF(OR($B48="",$D48="",$F48=""),"",(INDEX('Emission factors'!$K$3:$V$379,MATCH($B48&amp;$C48,'Emission factors'!$K$3:$K$379&amp;'Emission factors'!$L$3:$L$379,0),MATCH(O$7,'Emission factors'!$K$2:$V$2,0)))*$F48)</f>
        <v/>
      </c>
      <c r="P48" s="224"/>
      <c r="Q48" s="54"/>
      <c r="U48" s="1"/>
      <c r="V48" s="1"/>
      <c r="W48" s="1"/>
    </row>
    <row r="49" spans="2:21" x14ac:dyDescent="0.25">
      <c r="N49" s="70"/>
      <c r="O49" s="70"/>
      <c r="P49" s="70"/>
      <c r="Q49" s="70"/>
      <c r="R49" s="70"/>
      <c r="S49" s="225"/>
      <c r="T49" s="227"/>
      <c r="U49" s="226"/>
    </row>
    <row r="50" spans="2:21" x14ac:dyDescent="0.25">
      <c r="T50" s="27"/>
      <c r="U50" s="204"/>
    </row>
    <row r="51" spans="2:21" x14ac:dyDescent="0.25">
      <c r="B51" s="13"/>
    </row>
  </sheetData>
  <sheetProtection algorithmName="SHA-512" hashValue="qRb4E1+goL7aLhjKjmfahsKG4PiEINXtg/ht/ULiMxP2oRfxsLLoIQhf09ZpqgUA16lAdtBbZVcFY0XEFNLDDA==" saltValue="tWx2f66R9kW9ZGVR5MdhOQ==" spinCount="100000" sheet="1" objects="1" scenarios="1"/>
  <mergeCells count="8">
    <mergeCell ref="B4:L4"/>
    <mergeCell ref="B3:L3"/>
    <mergeCell ref="Q1:R1"/>
    <mergeCell ref="Q2:R2"/>
    <mergeCell ref="N2:P2"/>
    <mergeCell ref="N1:P1"/>
    <mergeCell ref="B2:F2"/>
    <mergeCell ref="G2:K2"/>
  </mergeCells>
  <conditionalFormatting sqref="B3:B4">
    <cfRule type="expression" dxfId="12" priority="4">
      <formula>ISERROR($L3)</formula>
    </cfRule>
  </conditionalFormatting>
  <conditionalFormatting sqref="B7:C48">
    <cfRule type="expression" dxfId="11" priority="1">
      <formula>ISERROR($I7)</formula>
    </cfRule>
  </conditionalFormatting>
  <conditionalFormatting sqref="B1:E1 B5:E5 B49:E181">
    <cfRule type="expression" dxfId="10" priority="5">
      <formula>ISERROR($K1)</formula>
    </cfRule>
  </conditionalFormatting>
  <conditionalFormatting sqref="H1 H5:H6 F7:F48 H49:H1048576">
    <cfRule type="cellIs" dxfId="9" priority="6" operator="equal">
      <formula>"There is an error in this table, see highlighted row(s)"</formula>
    </cfRule>
    <cfRule type="cellIs" dxfId="8" priority="7" operator="equal">
      <formula>"No errors in this table"</formula>
    </cfRule>
  </conditionalFormatting>
  <dataValidations count="3">
    <dataValidation type="list" allowBlank="1" showInputMessage="1" showErrorMessage="1" sqref="E8:E48" xr:uid="{00000000-0002-0000-0400-000000000000}">
      <formula1>Wasteunits</formula1>
    </dataValidation>
    <dataValidation type="list" allowBlank="1" showInputMessage="1" showErrorMessage="1" sqref="C8:C48" xr:uid="{00000000-0002-0000-0400-000001000000}">
      <formula1>INDIRECT(SUBSTITUTE(B8," ",""))</formula1>
    </dataValidation>
    <dataValidation type="decimal" operator="greaterThan" allowBlank="1" showInputMessage="1" showErrorMessage="1" errorTitle="Numeric data" error="Please enter a number greater than zero" sqref="D8:D48" xr:uid="{00000000-0002-0000-0400-000002000000}">
      <formula1>0</formula1>
    </dataValidation>
  </dataValidations>
  <pageMargins left="0.7" right="0.7" top="0.75" bottom="0.75" header="0.3" footer="0.3"/>
  <pageSetup paperSize="9" orientation="portrait"/>
  <headerFooter alignWithMargins="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3000000}">
          <x14:formula1>
            <xm:f>Lists!$U$4:$U$16</xm:f>
          </x14:formula1>
          <xm:sqref>B8:B48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27CCF9"/>
  </sheetPr>
  <dimension ref="A1:P87"/>
  <sheetViews>
    <sheetView workbookViewId="0">
      <selection activeCell="E9" sqref="E9"/>
    </sheetView>
  </sheetViews>
  <sheetFormatPr defaultColWidth="8.5703125" defaultRowHeight="15" x14ac:dyDescent="0.25"/>
  <cols>
    <col min="1" max="1" width="2.42578125" style="1" customWidth="1"/>
    <col min="2" max="2" width="28.140625" style="1" customWidth="1"/>
    <col min="3" max="3" width="18" style="1" customWidth="1"/>
    <col min="4" max="4" width="40.140625" style="1" customWidth="1"/>
    <col min="5" max="5" width="34.42578125" style="1" customWidth="1"/>
    <col min="6" max="6" width="14.140625" style="1" customWidth="1"/>
    <col min="7" max="7" width="19.140625" style="1" customWidth="1"/>
    <col min="8" max="8" width="14.140625" style="1" customWidth="1"/>
    <col min="9" max="9" width="30.140625" style="1" customWidth="1"/>
    <col min="10" max="12" width="10.140625" style="1" customWidth="1"/>
    <col min="13" max="13" width="10.85546875" style="1" customWidth="1"/>
    <col min="14" max="14" width="8.5703125" style="1" customWidth="1"/>
    <col min="15" max="15" width="29.85546875" style="1" customWidth="1"/>
    <col min="16" max="16" width="8.5703125" style="1" customWidth="1"/>
    <col min="17" max="17" width="10.140625" style="1" customWidth="1"/>
    <col min="18" max="18" width="8.5703125" style="1" customWidth="1"/>
    <col min="19" max="16384" width="8.5703125" style="1"/>
  </cols>
  <sheetData>
    <row r="1" spans="2:16" ht="15.75" thickBot="1" x14ac:dyDescent="0.3">
      <c r="G1" s="129" t="s">
        <v>59</v>
      </c>
      <c r="H1" s="132" t="s">
        <v>2</v>
      </c>
      <c r="I1" s="133" t="s">
        <v>5</v>
      </c>
    </row>
    <row r="2" spans="2:16" ht="19.5" thickBot="1" x14ac:dyDescent="0.35">
      <c r="B2" s="348" t="s">
        <v>117</v>
      </c>
      <c r="C2" s="349"/>
      <c r="D2" s="349"/>
      <c r="E2" s="349"/>
      <c r="F2" s="350"/>
      <c r="H2" s="131" t="s">
        <v>3</v>
      </c>
      <c r="I2" s="134" t="s">
        <v>6</v>
      </c>
    </row>
    <row r="3" spans="2:16" ht="49.5" customHeight="1" thickBot="1" x14ac:dyDescent="0.3">
      <c r="B3" s="338" t="s">
        <v>1052</v>
      </c>
      <c r="C3" s="339"/>
      <c r="D3" s="339"/>
      <c r="E3" s="339"/>
      <c r="F3" s="339"/>
      <c r="G3" s="339"/>
      <c r="H3" s="339"/>
      <c r="I3" s="339"/>
    </row>
    <row r="4" spans="2:16" ht="109.7" customHeight="1" x14ac:dyDescent="0.25">
      <c r="B4" s="333" t="s">
        <v>1017</v>
      </c>
      <c r="C4" s="334"/>
      <c r="D4" s="334"/>
      <c r="E4" s="334"/>
      <c r="F4" s="334"/>
      <c r="G4" s="334"/>
      <c r="H4" s="334"/>
      <c r="I4" s="335"/>
    </row>
    <row r="5" spans="2:16" ht="117" customHeight="1" x14ac:dyDescent="0.25">
      <c r="B5" s="333" t="s">
        <v>1018</v>
      </c>
      <c r="C5" s="334"/>
      <c r="D5" s="334"/>
      <c r="E5" s="334"/>
      <c r="F5" s="334"/>
      <c r="G5" s="334"/>
      <c r="H5" s="334"/>
      <c r="I5" s="335"/>
      <c r="K5" s="7"/>
      <c r="L5" s="7"/>
      <c r="M5" s="7"/>
      <c r="N5" s="7"/>
      <c r="O5" s="69"/>
    </row>
    <row r="6" spans="2:16" ht="19.5" thickBot="1" x14ac:dyDescent="0.3">
      <c r="B6" s="31" t="s">
        <v>118</v>
      </c>
      <c r="D6"/>
      <c r="E6"/>
      <c r="K6" s="7"/>
      <c r="L6" s="7"/>
      <c r="M6" s="180"/>
      <c r="O6" s="54"/>
      <c r="P6" s="54"/>
    </row>
    <row r="7" spans="2:16" ht="41.1" customHeight="1" thickBot="1" x14ac:dyDescent="0.3">
      <c r="B7" s="3" t="s">
        <v>119</v>
      </c>
      <c r="C7" s="210" t="s">
        <v>120</v>
      </c>
      <c r="D7" s="93" t="s">
        <v>121</v>
      </c>
      <c r="E7" s="16" t="s">
        <v>122</v>
      </c>
      <c r="F7" s="187" t="s">
        <v>787</v>
      </c>
      <c r="G7" s="186" t="s">
        <v>788</v>
      </c>
      <c r="H7" s="181" t="s">
        <v>123</v>
      </c>
      <c r="I7" s="182" t="s">
        <v>979</v>
      </c>
      <c r="J7" s="351"/>
      <c r="K7" s="352"/>
      <c r="L7" s="353"/>
      <c r="M7" s="199"/>
      <c r="N7" s="200"/>
      <c r="O7" s="65"/>
    </row>
    <row r="8" spans="2:16" ht="26.25" thickBot="1" x14ac:dyDescent="0.3">
      <c r="B8" s="84" t="s">
        <v>124</v>
      </c>
      <c r="C8" s="211" t="s">
        <v>125</v>
      </c>
      <c r="D8" s="264" t="s">
        <v>987</v>
      </c>
      <c r="E8" s="155"/>
      <c r="F8" s="207">
        <v>2.3149999999999999</v>
      </c>
      <c r="G8" s="229" t="str">
        <f t="shared" ref="G8:G48" si="0">IF(ISBLANK(E8),"",E8*F8)</f>
        <v/>
      </c>
      <c r="H8" s="153"/>
      <c r="I8"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8"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8" s="355"/>
      <c r="L8" s="356"/>
      <c r="M8" s="66"/>
      <c r="N8" s="67"/>
      <c r="O8" s="67"/>
    </row>
    <row r="9" spans="2:16" ht="33.6" customHeight="1" thickBot="1" x14ac:dyDescent="0.3">
      <c r="B9" s="84" t="s">
        <v>124</v>
      </c>
      <c r="C9" s="211" t="s">
        <v>127</v>
      </c>
      <c r="D9" s="264" t="s">
        <v>988</v>
      </c>
      <c r="E9" s="155"/>
      <c r="F9" s="207">
        <v>0.32800000000000001</v>
      </c>
      <c r="G9" s="229" t="str">
        <f t="shared" si="0"/>
        <v/>
      </c>
      <c r="H9" s="153"/>
      <c r="I9"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9"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9" s="355"/>
      <c r="L9" s="356"/>
      <c r="M9" s="66"/>
      <c r="N9" s="67"/>
      <c r="O9" s="67"/>
    </row>
    <row r="10" spans="2:16" ht="15.75" thickBot="1" x14ac:dyDescent="0.3">
      <c r="B10" s="84" t="s">
        <v>137</v>
      </c>
      <c r="C10" s="211">
        <v>14</v>
      </c>
      <c r="D10" s="264" t="s">
        <v>156</v>
      </c>
      <c r="E10" s="155"/>
      <c r="F10" s="207">
        <v>0.73799999999999999</v>
      </c>
      <c r="G10" s="229" t="str">
        <f t="shared" si="0"/>
        <v/>
      </c>
      <c r="H10" s="153"/>
      <c r="I10"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0"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0" s="355"/>
      <c r="L10" s="356"/>
      <c r="M10" s="66"/>
      <c r="N10" s="67"/>
      <c r="O10" s="71"/>
    </row>
    <row r="11" spans="2:16" ht="15.75" thickBot="1" x14ac:dyDescent="0.3">
      <c r="B11" s="84" t="s">
        <v>137</v>
      </c>
      <c r="C11" s="211">
        <v>17</v>
      </c>
      <c r="D11" s="264" t="s">
        <v>157</v>
      </c>
      <c r="E11" s="155"/>
      <c r="F11" s="207">
        <v>0.75600000000000001</v>
      </c>
      <c r="G11" s="229" t="str">
        <f t="shared" si="0"/>
        <v/>
      </c>
      <c r="H11" s="153"/>
      <c r="I11"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1"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1" s="355"/>
      <c r="L11" s="356"/>
      <c r="M11" s="66"/>
      <c r="N11" s="67"/>
    </row>
    <row r="12" spans="2:16" ht="15.75" thickBot="1" x14ac:dyDescent="0.3">
      <c r="B12" s="84" t="s">
        <v>137</v>
      </c>
      <c r="C12" s="211">
        <v>18</v>
      </c>
      <c r="D12" s="264" t="s">
        <v>158</v>
      </c>
      <c r="E12" s="155"/>
      <c r="F12" s="207">
        <v>0.434</v>
      </c>
      <c r="G12" s="229" t="str">
        <f t="shared" si="0"/>
        <v/>
      </c>
      <c r="H12" s="153"/>
      <c r="I12"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2"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2" s="355"/>
      <c r="L12" s="356"/>
      <c r="M12" s="66"/>
      <c r="N12" s="67"/>
    </row>
    <row r="13" spans="2:16" ht="26.25" thickBot="1" x14ac:dyDescent="0.3">
      <c r="B13" s="84" t="s">
        <v>137</v>
      </c>
      <c r="C13" s="211">
        <v>20.3</v>
      </c>
      <c r="D13" s="264" t="s">
        <v>163</v>
      </c>
      <c r="E13" s="155"/>
      <c r="F13" s="207">
        <v>1.048</v>
      </c>
      <c r="G13" s="229" t="str">
        <f t="shared" si="0"/>
        <v/>
      </c>
      <c r="H13" s="153"/>
      <c r="I13"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3"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3" s="355"/>
      <c r="L13" s="356"/>
      <c r="M13" s="66"/>
      <c r="N13" s="67"/>
    </row>
    <row r="14" spans="2:16" ht="26.25" thickBot="1" x14ac:dyDescent="0.3">
      <c r="B14" s="84" t="s">
        <v>137</v>
      </c>
      <c r="C14" s="211">
        <v>20.399999999999999</v>
      </c>
      <c r="D14" s="264" t="s">
        <v>164</v>
      </c>
      <c r="E14" s="155"/>
      <c r="F14" s="207">
        <v>0.83699999999999997</v>
      </c>
      <c r="G14" s="229" t="str">
        <f t="shared" si="0"/>
        <v/>
      </c>
      <c r="H14" s="153"/>
      <c r="I14"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4"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4" s="355"/>
      <c r="L14" s="356"/>
      <c r="M14" s="66"/>
      <c r="N14" s="67"/>
    </row>
    <row r="15" spans="2:16" ht="15.75" thickBot="1" x14ac:dyDescent="0.3">
      <c r="B15" s="84" t="s">
        <v>137</v>
      </c>
      <c r="C15" s="211">
        <v>20.5</v>
      </c>
      <c r="D15" s="264" t="s">
        <v>995</v>
      </c>
      <c r="E15" s="155"/>
      <c r="F15" s="207">
        <v>1.3380000000000001</v>
      </c>
      <c r="G15" s="229" t="str">
        <f t="shared" si="0"/>
        <v/>
      </c>
      <c r="H15" s="153"/>
      <c r="I15"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5"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5" s="355"/>
      <c r="L15" s="356"/>
      <c r="M15" s="66"/>
      <c r="N15" s="67"/>
    </row>
    <row r="16" spans="2:16" ht="15.75" thickBot="1" x14ac:dyDescent="0.3">
      <c r="B16" s="84" t="s">
        <v>137</v>
      </c>
      <c r="C16" s="211">
        <v>22</v>
      </c>
      <c r="D16" s="264" t="s">
        <v>166</v>
      </c>
      <c r="E16" s="155"/>
      <c r="F16" s="207">
        <v>0.63400000000000001</v>
      </c>
      <c r="G16" s="229" t="str">
        <f t="shared" si="0"/>
        <v/>
      </c>
      <c r="H16" s="153"/>
      <c r="I16"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6"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6" s="355"/>
      <c r="L16" s="356"/>
      <c r="M16" s="66"/>
      <c r="N16" s="67"/>
    </row>
    <row r="17" spans="2:14" ht="15.75" thickBot="1" x14ac:dyDescent="0.3">
      <c r="B17" s="84" t="s">
        <v>137</v>
      </c>
      <c r="C17" s="211">
        <v>26</v>
      </c>
      <c r="D17" s="264" t="s">
        <v>175</v>
      </c>
      <c r="E17" s="155"/>
      <c r="F17" s="207">
        <v>0.40400000000000003</v>
      </c>
      <c r="G17" s="229" t="str">
        <f t="shared" si="0"/>
        <v/>
      </c>
      <c r="H17" s="153"/>
      <c r="I17"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7"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7" s="355"/>
      <c r="L17" s="356"/>
      <c r="M17" s="66"/>
      <c r="N17" s="67"/>
    </row>
    <row r="18" spans="2:14" ht="15.75" thickBot="1" x14ac:dyDescent="0.3">
      <c r="B18" s="84" t="s">
        <v>137</v>
      </c>
      <c r="C18" s="211">
        <v>27</v>
      </c>
      <c r="D18" s="264" t="s">
        <v>176</v>
      </c>
      <c r="E18" s="155"/>
      <c r="F18" s="207">
        <v>0.438</v>
      </c>
      <c r="G18" s="229" t="str">
        <f t="shared" si="0"/>
        <v/>
      </c>
      <c r="H18" s="153"/>
      <c r="I18"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8"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8" s="355"/>
      <c r="L18" s="356"/>
      <c r="M18" s="66"/>
      <c r="N18" s="67"/>
    </row>
    <row r="19" spans="2:14" ht="15.75" thickBot="1" x14ac:dyDescent="0.3">
      <c r="B19" s="84" t="s">
        <v>137</v>
      </c>
      <c r="C19" s="211">
        <v>28</v>
      </c>
      <c r="D19" s="264" t="s">
        <v>177</v>
      </c>
      <c r="E19" s="155"/>
      <c r="F19" s="207">
        <v>0.44500000000000001</v>
      </c>
      <c r="G19" s="229" t="str">
        <f t="shared" si="0"/>
        <v/>
      </c>
      <c r="H19" s="153"/>
      <c r="I19"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9"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9" s="355"/>
      <c r="L19" s="356"/>
      <c r="M19" s="66"/>
      <c r="N19" s="67"/>
    </row>
    <row r="20" spans="2:14" ht="15.75" thickBot="1" x14ac:dyDescent="0.3">
      <c r="B20" s="84" t="s">
        <v>137</v>
      </c>
      <c r="C20" s="211">
        <v>29</v>
      </c>
      <c r="D20" s="264" t="s">
        <v>178</v>
      </c>
      <c r="E20" s="155"/>
      <c r="F20" s="207">
        <v>0.41599999999999998</v>
      </c>
      <c r="G20" s="229" t="str">
        <f t="shared" si="0"/>
        <v/>
      </c>
      <c r="H20" s="153"/>
      <c r="I20"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0"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0" s="355"/>
      <c r="L20" s="356"/>
      <c r="M20" s="66"/>
      <c r="N20" s="67"/>
    </row>
    <row r="21" spans="2:14" ht="15.75" thickBot="1" x14ac:dyDescent="0.3">
      <c r="B21" s="84" t="s">
        <v>137</v>
      </c>
      <c r="C21" s="211">
        <v>31</v>
      </c>
      <c r="D21" s="264" t="s">
        <v>183</v>
      </c>
      <c r="E21" s="155"/>
      <c r="F21" s="207">
        <v>0.45700000000000002</v>
      </c>
      <c r="G21" s="229" t="str">
        <f t="shared" si="0"/>
        <v/>
      </c>
      <c r="H21" s="153"/>
      <c r="I21"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1"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1" s="355"/>
      <c r="L21" s="356"/>
      <c r="M21" s="66"/>
      <c r="N21" s="67"/>
    </row>
    <row r="22" spans="2:14" ht="15.75" thickBot="1" x14ac:dyDescent="0.3">
      <c r="B22" s="84" t="s">
        <v>137</v>
      </c>
      <c r="C22" s="211">
        <v>32</v>
      </c>
      <c r="D22" s="264" t="s">
        <v>184</v>
      </c>
      <c r="E22" s="155"/>
      <c r="F22" s="207">
        <v>0.61699999999999999</v>
      </c>
      <c r="G22" s="229" t="str">
        <f t="shared" si="0"/>
        <v/>
      </c>
      <c r="H22" s="153"/>
      <c r="I22"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2"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2" s="355"/>
      <c r="L22" s="356"/>
      <c r="M22" s="66"/>
      <c r="N22" s="67"/>
    </row>
    <row r="23" spans="2:14" ht="26.25" thickBot="1" x14ac:dyDescent="0.3">
      <c r="B23" s="84" t="s">
        <v>189</v>
      </c>
      <c r="C23" s="211">
        <v>35.1</v>
      </c>
      <c r="D23" s="264" t="s">
        <v>190</v>
      </c>
      <c r="E23" s="155"/>
      <c r="F23" s="207">
        <v>1.95</v>
      </c>
      <c r="G23" s="229" t="str">
        <f t="shared" si="0"/>
        <v/>
      </c>
      <c r="H23" s="153"/>
      <c r="I23"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3"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3" s="355"/>
      <c r="L23" s="356"/>
      <c r="M23" s="66"/>
      <c r="N23" s="67"/>
    </row>
    <row r="24" spans="2:14" ht="26.25" thickBot="1" x14ac:dyDescent="0.3">
      <c r="B24" s="84" t="s">
        <v>189</v>
      </c>
      <c r="C24" s="211" t="s">
        <v>191</v>
      </c>
      <c r="D24" s="264" t="s">
        <v>997</v>
      </c>
      <c r="E24" s="155"/>
      <c r="F24" s="207">
        <v>1.607</v>
      </c>
      <c r="G24" s="229" t="str">
        <f t="shared" si="0"/>
        <v/>
      </c>
      <c r="H24" s="153"/>
      <c r="I24"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4"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4" s="355"/>
      <c r="L24" s="356"/>
      <c r="M24" s="66"/>
      <c r="N24" s="67"/>
    </row>
    <row r="25" spans="2:14" ht="39" thickBot="1" x14ac:dyDescent="0.3">
      <c r="B25" s="84" t="s">
        <v>192</v>
      </c>
      <c r="C25" s="211">
        <v>36</v>
      </c>
      <c r="D25" s="264" t="s">
        <v>193</v>
      </c>
      <c r="E25" s="155"/>
      <c r="F25" s="207">
        <v>0.29199999999999998</v>
      </c>
      <c r="G25" s="229" t="str">
        <f t="shared" si="0"/>
        <v/>
      </c>
      <c r="H25" s="153"/>
      <c r="I25"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5"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5" s="355"/>
      <c r="L25" s="356"/>
      <c r="M25" s="66"/>
      <c r="N25" s="67"/>
    </row>
    <row r="26" spans="2:14" ht="39" thickBot="1" x14ac:dyDescent="0.3">
      <c r="B26" s="84" t="s">
        <v>192</v>
      </c>
      <c r="C26" s="211">
        <v>37</v>
      </c>
      <c r="D26" s="264" t="s">
        <v>194</v>
      </c>
      <c r="E26" s="155"/>
      <c r="F26" s="207">
        <v>0.39700000000000002</v>
      </c>
      <c r="G26" s="229" t="str">
        <f t="shared" si="0"/>
        <v/>
      </c>
      <c r="H26" s="153"/>
      <c r="I26"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6"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6" s="355"/>
      <c r="L26" s="356"/>
      <c r="M26" s="66"/>
      <c r="N26" s="67"/>
    </row>
    <row r="27" spans="2:14" ht="39" thickBot="1" x14ac:dyDescent="0.3">
      <c r="B27" s="84" t="s">
        <v>192</v>
      </c>
      <c r="C27" s="211">
        <v>38</v>
      </c>
      <c r="D27" s="264" t="s">
        <v>195</v>
      </c>
      <c r="E27" s="155"/>
      <c r="F27" s="207">
        <v>1.3919999999999999</v>
      </c>
      <c r="G27" s="229" t="str">
        <f t="shared" si="0"/>
        <v/>
      </c>
      <c r="H27" s="153"/>
      <c r="I27"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7"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7" s="355"/>
      <c r="L27" s="356"/>
      <c r="M27" s="66"/>
      <c r="N27" s="67"/>
    </row>
    <row r="28" spans="2:14" ht="15.75" thickBot="1" x14ac:dyDescent="0.3">
      <c r="B28" s="84" t="s">
        <v>197</v>
      </c>
      <c r="C28" s="211">
        <v>41.2</v>
      </c>
      <c r="D28" s="264" t="s">
        <v>998</v>
      </c>
      <c r="E28" s="155"/>
      <c r="F28" s="207">
        <v>0.32400000000000001</v>
      </c>
      <c r="G28" s="229" t="str">
        <f t="shared" si="0"/>
        <v/>
      </c>
      <c r="H28" s="153"/>
      <c r="I28"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8"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8" s="355"/>
      <c r="L28" s="356"/>
      <c r="M28" s="66"/>
      <c r="N28" s="67"/>
    </row>
    <row r="29" spans="2:14" ht="39" thickBot="1" x14ac:dyDescent="0.3">
      <c r="B29" s="84" t="s">
        <v>198</v>
      </c>
      <c r="C29" s="211">
        <v>45</v>
      </c>
      <c r="D29" s="264" t="s">
        <v>199</v>
      </c>
      <c r="E29" s="155"/>
      <c r="F29" s="207">
        <v>0.29699999999999999</v>
      </c>
      <c r="G29" s="229" t="str">
        <f t="shared" si="0"/>
        <v/>
      </c>
      <c r="H29" s="153"/>
      <c r="I29"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9"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9" s="355"/>
      <c r="L29" s="356"/>
      <c r="M29" s="66"/>
      <c r="N29" s="67"/>
    </row>
    <row r="30" spans="2:14" ht="26.25" thickBot="1" x14ac:dyDescent="0.3">
      <c r="B30" s="84" t="s">
        <v>207</v>
      </c>
      <c r="C30" s="211">
        <v>55</v>
      </c>
      <c r="D30" s="264" t="s">
        <v>208</v>
      </c>
      <c r="E30" s="155"/>
      <c r="F30" s="207">
        <v>0.34100000000000003</v>
      </c>
      <c r="G30" s="229" t="str">
        <f t="shared" si="0"/>
        <v/>
      </c>
      <c r="H30" s="153"/>
      <c r="I30"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0"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0" s="355"/>
      <c r="L30" s="356"/>
      <c r="M30" s="66"/>
      <c r="N30" s="67"/>
    </row>
    <row r="31" spans="2:14" ht="26.25" thickBot="1" x14ac:dyDescent="0.3">
      <c r="B31" s="84" t="s">
        <v>207</v>
      </c>
      <c r="C31" s="211">
        <v>56</v>
      </c>
      <c r="D31" s="264" t="s">
        <v>209</v>
      </c>
      <c r="E31" s="155"/>
      <c r="F31" s="207">
        <v>0.316</v>
      </c>
      <c r="G31" s="229" t="str">
        <f t="shared" si="0"/>
        <v/>
      </c>
      <c r="H31" s="153"/>
      <c r="I31"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1"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1" s="355"/>
      <c r="L31" s="356"/>
      <c r="M31" s="66"/>
      <c r="N31" s="67"/>
    </row>
    <row r="32" spans="2:14" ht="26.25" thickBot="1" x14ac:dyDescent="0.3">
      <c r="B32" s="84" t="s">
        <v>210</v>
      </c>
      <c r="C32" s="211">
        <v>58</v>
      </c>
      <c r="D32" s="264" t="s">
        <v>211</v>
      </c>
      <c r="E32" s="155"/>
      <c r="F32" s="207">
        <v>0.10199999999999999</v>
      </c>
      <c r="G32" s="229" t="str">
        <f t="shared" si="0"/>
        <v/>
      </c>
      <c r="H32" s="153"/>
      <c r="I32"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2"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2" s="355"/>
      <c r="L32" s="356"/>
      <c r="M32" s="66"/>
      <c r="N32" s="67"/>
    </row>
    <row r="33" spans="2:14" ht="26.25" thickBot="1" x14ac:dyDescent="0.3">
      <c r="B33" s="84" t="s">
        <v>210</v>
      </c>
      <c r="C33" s="211">
        <v>61</v>
      </c>
      <c r="D33" s="264" t="s">
        <v>212</v>
      </c>
      <c r="E33" s="155"/>
      <c r="F33" s="207">
        <v>0.17299999999999999</v>
      </c>
      <c r="G33" s="229" t="str">
        <f t="shared" si="0"/>
        <v/>
      </c>
      <c r="H33" s="153"/>
      <c r="I33"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3"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3" s="355"/>
      <c r="L33" s="356"/>
      <c r="M33" s="66"/>
      <c r="N33" s="67"/>
    </row>
    <row r="34" spans="2:14" ht="26.25" thickBot="1" x14ac:dyDescent="0.3">
      <c r="B34" s="84" t="s">
        <v>210</v>
      </c>
      <c r="C34" s="211">
        <v>62</v>
      </c>
      <c r="D34" s="264" t="s">
        <v>213</v>
      </c>
      <c r="E34" s="155"/>
      <c r="F34" s="207">
        <v>0.153</v>
      </c>
      <c r="G34" s="229" t="str">
        <f t="shared" si="0"/>
        <v/>
      </c>
      <c r="H34" s="153"/>
      <c r="I34"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4"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4" s="355"/>
      <c r="L34" s="356"/>
      <c r="M34" s="66"/>
      <c r="N34" s="67"/>
    </row>
    <row r="35" spans="2:14" ht="26.25" thickBot="1" x14ac:dyDescent="0.3">
      <c r="B35" s="84" t="s">
        <v>210</v>
      </c>
      <c r="C35" s="211">
        <v>63</v>
      </c>
      <c r="D35" s="264" t="s">
        <v>214</v>
      </c>
      <c r="E35" s="155"/>
      <c r="F35" s="207">
        <v>0.2</v>
      </c>
      <c r="G35" s="229" t="str">
        <f t="shared" si="0"/>
        <v/>
      </c>
      <c r="H35" s="153"/>
      <c r="I35"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5"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5" s="355"/>
      <c r="L35" s="356"/>
      <c r="M35" s="66"/>
      <c r="N35" s="67"/>
    </row>
    <row r="36" spans="2:14" ht="26.25" thickBot="1" x14ac:dyDescent="0.3">
      <c r="B36" s="84" t="s">
        <v>215</v>
      </c>
      <c r="C36" s="211">
        <v>64</v>
      </c>
      <c r="D36" s="264" t="s">
        <v>216</v>
      </c>
      <c r="E36" s="155"/>
      <c r="F36" s="207">
        <v>0.11899999999999999</v>
      </c>
      <c r="G36" s="229" t="str">
        <f t="shared" si="0"/>
        <v/>
      </c>
      <c r="H36" s="153"/>
      <c r="I36"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6"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6" s="355"/>
      <c r="L36" s="356"/>
      <c r="M36" s="66"/>
      <c r="N36" s="67"/>
    </row>
    <row r="37" spans="2:14" ht="26.25" thickBot="1" x14ac:dyDescent="0.3">
      <c r="B37" s="84" t="s">
        <v>215</v>
      </c>
      <c r="C37" s="211" t="s">
        <v>1013</v>
      </c>
      <c r="D37" s="264" t="s">
        <v>1007</v>
      </c>
      <c r="E37" s="155"/>
      <c r="F37" s="207">
        <v>8.7999999999999995E-2</v>
      </c>
      <c r="G37" s="229" t="str">
        <f t="shared" si="0"/>
        <v/>
      </c>
      <c r="H37" s="153"/>
      <c r="I37"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7"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7" s="355"/>
      <c r="L37" s="356"/>
      <c r="M37" s="66"/>
      <c r="N37" s="67"/>
    </row>
    <row r="38" spans="2:14" ht="26.25" thickBot="1" x14ac:dyDescent="0.3">
      <c r="B38" s="84" t="s">
        <v>223</v>
      </c>
      <c r="C38" s="211">
        <v>69.099999999999994</v>
      </c>
      <c r="D38" s="264" t="s">
        <v>224</v>
      </c>
      <c r="E38" s="155"/>
      <c r="F38" s="207">
        <v>6.8000000000000005E-2</v>
      </c>
      <c r="G38" s="229" t="str">
        <f t="shared" si="0"/>
        <v/>
      </c>
      <c r="H38" s="153"/>
      <c r="I38"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8"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8" s="355"/>
      <c r="L38" s="356"/>
      <c r="M38" s="66"/>
      <c r="N38" s="67"/>
    </row>
    <row r="39" spans="2:14" ht="26.25" thickBot="1" x14ac:dyDescent="0.3">
      <c r="B39" s="84" t="s">
        <v>223</v>
      </c>
      <c r="C39" s="211">
        <v>75</v>
      </c>
      <c r="D39" s="264" t="s">
        <v>231</v>
      </c>
      <c r="E39" s="155"/>
      <c r="F39" s="207">
        <v>0.107</v>
      </c>
      <c r="G39" s="229" t="str">
        <f t="shared" si="0"/>
        <v/>
      </c>
      <c r="H39" s="153"/>
      <c r="I39"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9"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9" s="355"/>
      <c r="L39" s="356"/>
      <c r="M39" s="66"/>
      <c r="N39" s="67"/>
    </row>
    <row r="40" spans="2:14" ht="26.25" thickBot="1" x14ac:dyDescent="0.3">
      <c r="B40" s="84" t="s">
        <v>232</v>
      </c>
      <c r="C40" s="211">
        <v>77</v>
      </c>
      <c r="D40" s="264" t="s">
        <v>233</v>
      </c>
      <c r="E40" s="155"/>
      <c r="F40" s="207">
        <v>0.17699999999999999</v>
      </c>
      <c r="G40" s="229" t="str">
        <f t="shared" si="0"/>
        <v/>
      </c>
      <c r="H40" s="153"/>
      <c r="I40"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0"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0" s="355"/>
      <c r="L40" s="356"/>
      <c r="M40" s="66"/>
      <c r="N40" s="67"/>
    </row>
    <row r="41" spans="2:14" ht="26.25" thickBot="1" x14ac:dyDescent="0.3">
      <c r="B41" s="84" t="s">
        <v>232</v>
      </c>
      <c r="C41" s="211">
        <v>78</v>
      </c>
      <c r="D41" s="264" t="s">
        <v>234</v>
      </c>
      <c r="E41" s="155"/>
      <c r="F41" s="207">
        <v>0.126</v>
      </c>
      <c r="G41" s="229" t="str">
        <f t="shared" si="0"/>
        <v/>
      </c>
      <c r="H41" s="153"/>
      <c r="I41"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1"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1" s="355"/>
      <c r="L41" s="356"/>
      <c r="M41" s="66"/>
      <c r="N41" s="67"/>
    </row>
    <row r="42" spans="2:14" ht="26.25" thickBot="1" x14ac:dyDescent="0.3">
      <c r="B42" s="84" t="s">
        <v>232</v>
      </c>
      <c r="C42" s="211">
        <v>80</v>
      </c>
      <c r="D42" s="264" t="s">
        <v>236</v>
      </c>
      <c r="E42" s="155"/>
      <c r="F42" s="207">
        <v>0.112</v>
      </c>
      <c r="G42" s="229" t="str">
        <f t="shared" si="0"/>
        <v/>
      </c>
      <c r="H42" s="153"/>
      <c r="I42"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2"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2" s="355"/>
      <c r="L42" s="356"/>
      <c r="M42" s="66"/>
      <c r="N42" s="67"/>
    </row>
    <row r="43" spans="2:14" ht="26.25" thickBot="1" x14ac:dyDescent="0.3">
      <c r="B43" s="84" t="s">
        <v>232</v>
      </c>
      <c r="C43" s="211">
        <v>81</v>
      </c>
      <c r="D43" s="264" t="s">
        <v>237</v>
      </c>
      <c r="E43" s="155"/>
      <c r="F43" s="207">
        <v>0.193</v>
      </c>
      <c r="G43" s="229" t="str">
        <f t="shared" si="0"/>
        <v/>
      </c>
      <c r="H43" s="153"/>
      <c r="I43"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3"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3" s="355"/>
      <c r="L43" s="356"/>
      <c r="M43" s="66"/>
      <c r="N43" s="67"/>
    </row>
    <row r="44" spans="2:14" ht="26.25" thickBot="1" x14ac:dyDescent="0.3">
      <c r="B44" s="84" t="s">
        <v>232</v>
      </c>
      <c r="C44" s="211">
        <v>82</v>
      </c>
      <c r="D44" s="264" t="s">
        <v>238</v>
      </c>
      <c r="E44" s="155"/>
      <c r="F44" s="207">
        <v>0.189</v>
      </c>
      <c r="G44" s="229" t="str">
        <f t="shared" si="0"/>
        <v/>
      </c>
      <c r="H44" s="153"/>
      <c r="I44"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4"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4" s="355"/>
      <c r="L44" s="356"/>
      <c r="M44" s="66"/>
      <c r="N44" s="67"/>
    </row>
    <row r="45" spans="2:14" ht="15.75" thickBot="1" x14ac:dyDescent="0.3">
      <c r="B45" s="84" t="s">
        <v>1045</v>
      </c>
      <c r="C45" s="211" t="s">
        <v>1046</v>
      </c>
      <c r="D45" s="264" t="s">
        <v>1047</v>
      </c>
      <c r="E45" s="155"/>
      <c r="F45" s="296">
        <v>0.188</v>
      </c>
      <c r="G45" s="297" t="str">
        <f t="shared" si="0"/>
        <v/>
      </c>
      <c r="H45" s="298"/>
      <c r="I45"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5" s="293"/>
      <c r="K45" s="294"/>
      <c r="L45" s="295"/>
      <c r="M45" s="66"/>
      <c r="N45" s="67"/>
    </row>
    <row r="46" spans="2:14" ht="26.25" thickBot="1" x14ac:dyDescent="0.3">
      <c r="B46" s="84" t="s">
        <v>243</v>
      </c>
      <c r="C46" s="211">
        <v>86</v>
      </c>
      <c r="D46" s="264" t="s">
        <v>244</v>
      </c>
      <c r="E46" s="155"/>
      <c r="F46" s="207">
        <v>0.32</v>
      </c>
      <c r="G46" s="229" t="str">
        <f t="shared" si="0"/>
        <v/>
      </c>
      <c r="H46" s="153"/>
      <c r="I46"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6"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6" s="355"/>
      <c r="L46" s="356"/>
      <c r="M46" s="66"/>
      <c r="N46" s="67"/>
    </row>
    <row r="47" spans="2:14" ht="26.25" thickBot="1" x14ac:dyDescent="0.3">
      <c r="B47" s="84" t="s">
        <v>245</v>
      </c>
      <c r="C47" s="211">
        <v>90</v>
      </c>
      <c r="D47" s="264" t="s">
        <v>246</v>
      </c>
      <c r="E47" s="155"/>
      <c r="F47" s="207">
        <v>0.32900000000000001</v>
      </c>
      <c r="G47" s="229" t="str">
        <f t="shared" si="0"/>
        <v/>
      </c>
      <c r="H47" s="153"/>
      <c r="I47"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7"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7" s="355"/>
      <c r="L47" s="356"/>
      <c r="M47" s="66"/>
      <c r="N47" s="67"/>
    </row>
    <row r="48" spans="2:14" ht="26.25" thickBot="1" x14ac:dyDescent="0.3">
      <c r="B48" s="84" t="s">
        <v>245</v>
      </c>
      <c r="C48" s="211">
        <v>93</v>
      </c>
      <c r="D48" s="264" t="s">
        <v>249</v>
      </c>
      <c r="E48" s="155"/>
      <c r="F48" s="207">
        <v>0.29099999999999998</v>
      </c>
      <c r="G48" s="229" t="str">
        <f t="shared" si="0"/>
        <v/>
      </c>
      <c r="H48" s="153"/>
      <c r="I48" s="183">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8" s="354"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8" s="355"/>
      <c r="L48" s="356"/>
      <c r="M48" s="66"/>
      <c r="N48" s="67"/>
    </row>
    <row r="49" spans="1:12" x14ac:dyDescent="0.25">
      <c r="B49" s="27"/>
      <c r="C49" s="27"/>
      <c r="D49" s="27"/>
      <c r="E49" s="27"/>
      <c r="F49" s="27"/>
      <c r="G49" s="27"/>
      <c r="H49" s="27"/>
      <c r="I49" s="27"/>
      <c r="J49" s="27"/>
      <c r="K49" s="27"/>
      <c r="L49" s="27"/>
    </row>
    <row r="50" spans="1:12" x14ac:dyDescent="0.25">
      <c r="B50" s="357" t="s">
        <v>980</v>
      </c>
      <c r="C50" s="358"/>
      <c r="D50" s="358"/>
      <c r="E50" s="358"/>
      <c r="F50" s="358"/>
      <c r="G50" s="358"/>
      <c r="H50" s="358"/>
      <c r="I50" s="359"/>
    </row>
    <row r="51" spans="1:12" ht="51" customHeight="1" x14ac:dyDescent="0.25">
      <c r="B51" s="360"/>
      <c r="C51" s="361"/>
      <c r="D51" s="361"/>
      <c r="E51" s="361"/>
      <c r="F51" s="361"/>
      <c r="G51" s="361"/>
      <c r="H51" s="361"/>
      <c r="I51" s="362"/>
    </row>
    <row r="52" spans="1:12" ht="7.7" customHeight="1" x14ac:dyDescent="0.25"/>
    <row r="53" spans="1:12" ht="19.5" thickBot="1" x14ac:dyDescent="0.3">
      <c r="B53" s="31" t="s">
        <v>256</v>
      </c>
      <c r="D53"/>
      <c r="E53" s="13"/>
    </row>
    <row r="54" spans="1:12" ht="29.1" customHeight="1" thickBot="1" x14ac:dyDescent="0.3">
      <c r="A54" s="26"/>
      <c r="B54" s="2" t="s">
        <v>119</v>
      </c>
      <c r="C54" s="93" t="s">
        <v>120</v>
      </c>
      <c r="D54" s="93" t="s">
        <v>121</v>
      </c>
      <c r="E54" s="16" t="s">
        <v>257</v>
      </c>
      <c r="F54" s="184" t="s">
        <v>8</v>
      </c>
      <c r="G54" s="185" t="s">
        <v>258</v>
      </c>
      <c r="H54" s="181" t="s">
        <v>259</v>
      </c>
    </row>
    <row r="55" spans="1:12" ht="15.75" thickBot="1" x14ac:dyDescent="0.3">
      <c r="A55" s="26"/>
      <c r="B55" s="141" t="str">
        <f t="shared" ref="B55:B86" si="1">IFERROR(VLOOKUP(D55,SICProductCodeLookup,2,FALSE), "")</f>
        <v/>
      </c>
      <c r="C55" s="212" t="str">
        <f t="shared" ref="C55:C86" si="2">IFERROR((VLOOKUP(D55,SICProductCodeLookup,3,FALSE)), "")</f>
        <v/>
      </c>
      <c r="D55" s="156"/>
      <c r="E55" s="120"/>
      <c r="F55" s="85"/>
      <c r="G55" s="237"/>
      <c r="H55" s="153"/>
    </row>
    <row r="56" spans="1:12" ht="15.75" thickBot="1" x14ac:dyDescent="0.3">
      <c r="A56" s="26"/>
      <c r="B56" s="141" t="str">
        <f t="shared" si="1"/>
        <v/>
      </c>
      <c r="C56" s="212" t="str">
        <f t="shared" si="2"/>
        <v/>
      </c>
      <c r="D56" s="156"/>
      <c r="E56" s="152"/>
      <c r="F56" s="86"/>
      <c r="G56" s="237"/>
      <c r="H56" s="153"/>
    </row>
    <row r="57" spans="1:12" ht="15.75" thickBot="1" x14ac:dyDescent="0.3">
      <c r="A57" s="26"/>
      <c r="B57" s="141" t="str">
        <f t="shared" si="1"/>
        <v/>
      </c>
      <c r="C57" s="212" t="str">
        <f t="shared" si="2"/>
        <v/>
      </c>
      <c r="D57" s="156"/>
      <c r="E57" s="152"/>
      <c r="F57" s="188"/>
      <c r="G57" s="237"/>
      <c r="H57" s="153"/>
    </row>
    <row r="58" spans="1:12" ht="15.75" thickBot="1" x14ac:dyDescent="0.3">
      <c r="A58" s="26"/>
      <c r="B58" s="141" t="str">
        <f t="shared" si="1"/>
        <v/>
      </c>
      <c r="C58" s="212" t="str">
        <f t="shared" si="2"/>
        <v/>
      </c>
      <c r="D58" s="156"/>
      <c r="E58" s="152"/>
      <c r="F58" s="188"/>
      <c r="G58" s="237"/>
      <c r="H58" s="153"/>
    </row>
    <row r="59" spans="1:12" ht="15.75" thickBot="1" x14ac:dyDescent="0.3">
      <c r="A59" s="26"/>
      <c r="B59" s="141" t="str">
        <f t="shared" si="1"/>
        <v/>
      </c>
      <c r="C59" s="212" t="str">
        <f t="shared" si="2"/>
        <v/>
      </c>
      <c r="D59" s="156"/>
      <c r="E59" s="152"/>
      <c r="F59" s="188"/>
      <c r="G59" s="237"/>
      <c r="H59" s="153"/>
    </row>
    <row r="60" spans="1:12" ht="15.75" thickBot="1" x14ac:dyDescent="0.3">
      <c r="A60" s="26"/>
      <c r="B60" s="141" t="str">
        <f t="shared" si="1"/>
        <v/>
      </c>
      <c r="C60" s="212" t="str">
        <f t="shared" si="2"/>
        <v/>
      </c>
      <c r="D60" s="156"/>
      <c r="E60" s="152"/>
      <c r="F60" s="188"/>
      <c r="G60" s="237"/>
      <c r="H60" s="153"/>
    </row>
    <row r="61" spans="1:12" ht="15.75" thickBot="1" x14ac:dyDescent="0.3">
      <c r="A61" s="26"/>
      <c r="B61" s="141" t="str">
        <f t="shared" si="1"/>
        <v/>
      </c>
      <c r="C61" s="212" t="str">
        <f t="shared" si="2"/>
        <v/>
      </c>
      <c r="D61" s="156"/>
      <c r="E61" s="152"/>
      <c r="F61" s="188"/>
      <c r="G61" s="237"/>
      <c r="H61" s="153"/>
    </row>
    <row r="62" spans="1:12" ht="15.75" thickBot="1" x14ac:dyDescent="0.3">
      <c r="A62" s="26"/>
      <c r="B62" s="141" t="str">
        <f t="shared" si="1"/>
        <v/>
      </c>
      <c r="C62" s="212" t="str">
        <f t="shared" si="2"/>
        <v/>
      </c>
      <c r="D62" s="156"/>
      <c r="E62" s="152"/>
      <c r="F62" s="188"/>
      <c r="G62" s="237"/>
      <c r="H62" s="153"/>
    </row>
    <row r="63" spans="1:12" ht="15.75" thickBot="1" x14ac:dyDescent="0.3">
      <c r="A63" s="26"/>
      <c r="B63" s="141" t="str">
        <f t="shared" si="1"/>
        <v/>
      </c>
      <c r="C63" s="212" t="str">
        <f t="shared" si="2"/>
        <v/>
      </c>
      <c r="D63" s="156"/>
      <c r="E63" s="152"/>
      <c r="F63" s="188"/>
      <c r="G63" s="237"/>
      <c r="H63" s="153"/>
    </row>
    <row r="64" spans="1:12" ht="15.75" thickBot="1" x14ac:dyDescent="0.3">
      <c r="A64" s="26"/>
      <c r="B64" s="141" t="str">
        <f t="shared" si="1"/>
        <v/>
      </c>
      <c r="C64" s="212" t="str">
        <f t="shared" si="2"/>
        <v/>
      </c>
      <c r="D64" s="156"/>
      <c r="E64" s="152"/>
      <c r="F64" s="188"/>
      <c r="G64" s="237"/>
      <c r="H64" s="153"/>
    </row>
    <row r="65" spans="1:8" ht="15.75" thickBot="1" x14ac:dyDescent="0.3">
      <c r="A65" s="26"/>
      <c r="B65" s="141" t="str">
        <f t="shared" si="1"/>
        <v/>
      </c>
      <c r="C65" s="212" t="str">
        <f t="shared" si="2"/>
        <v/>
      </c>
      <c r="D65" s="156"/>
      <c r="E65" s="152"/>
      <c r="F65" s="188"/>
      <c r="G65" s="237"/>
      <c r="H65" s="153"/>
    </row>
    <row r="66" spans="1:8" ht="15.75" thickBot="1" x14ac:dyDescent="0.3">
      <c r="A66" s="26"/>
      <c r="B66" s="141" t="str">
        <f t="shared" si="1"/>
        <v/>
      </c>
      <c r="C66" s="212" t="str">
        <f t="shared" si="2"/>
        <v/>
      </c>
      <c r="D66" s="156"/>
      <c r="E66" s="152"/>
      <c r="F66" s="188"/>
      <c r="G66" s="237"/>
      <c r="H66" s="153"/>
    </row>
    <row r="67" spans="1:8" ht="15.75" thickBot="1" x14ac:dyDescent="0.3">
      <c r="A67" s="26"/>
      <c r="B67" s="141" t="str">
        <f t="shared" si="1"/>
        <v/>
      </c>
      <c r="C67" s="212" t="str">
        <f t="shared" si="2"/>
        <v/>
      </c>
      <c r="D67" s="156"/>
      <c r="E67" s="152"/>
      <c r="F67" s="188"/>
      <c r="G67" s="237"/>
      <c r="H67" s="153"/>
    </row>
    <row r="68" spans="1:8" ht="15.75" thickBot="1" x14ac:dyDescent="0.3">
      <c r="A68" s="26"/>
      <c r="B68" s="141" t="str">
        <f t="shared" si="1"/>
        <v/>
      </c>
      <c r="C68" s="212" t="str">
        <f t="shared" si="2"/>
        <v/>
      </c>
      <c r="D68" s="156"/>
      <c r="E68" s="152"/>
      <c r="F68" s="188"/>
      <c r="G68" s="237"/>
      <c r="H68" s="153"/>
    </row>
    <row r="69" spans="1:8" ht="15.75" thickBot="1" x14ac:dyDescent="0.3">
      <c r="A69" s="26"/>
      <c r="B69" s="141" t="str">
        <f t="shared" si="1"/>
        <v/>
      </c>
      <c r="C69" s="212" t="str">
        <f t="shared" si="2"/>
        <v/>
      </c>
      <c r="D69" s="156"/>
      <c r="E69" s="152"/>
      <c r="F69" s="188"/>
      <c r="G69" s="237"/>
      <c r="H69" s="153"/>
    </row>
    <row r="70" spans="1:8" ht="15.75" thickBot="1" x14ac:dyDescent="0.3">
      <c r="A70" s="26"/>
      <c r="B70" s="141" t="str">
        <f t="shared" si="1"/>
        <v/>
      </c>
      <c r="C70" s="212" t="str">
        <f t="shared" si="2"/>
        <v/>
      </c>
      <c r="D70" s="156"/>
      <c r="E70" s="152"/>
      <c r="F70" s="188"/>
      <c r="G70" s="237"/>
      <c r="H70" s="153"/>
    </row>
    <row r="71" spans="1:8" ht="15.75" thickBot="1" x14ac:dyDescent="0.3">
      <c r="A71" s="26"/>
      <c r="B71" s="141" t="str">
        <f t="shared" si="1"/>
        <v/>
      </c>
      <c r="C71" s="212" t="str">
        <f t="shared" si="2"/>
        <v/>
      </c>
      <c r="D71" s="156"/>
      <c r="E71" s="152"/>
      <c r="F71" s="188"/>
      <c r="G71" s="237"/>
      <c r="H71" s="153"/>
    </row>
    <row r="72" spans="1:8" ht="15.75" thickBot="1" x14ac:dyDescent="0.3">
      <c r="A72" s="26"/>
      <c r="B72" s="141" t="str">
        <f t="shared" si="1"/>
        <v/>
      </c>
      <c r="C72" s="212" t="str">
        <f t="shared" si="2"/>
        <v/>
      </c>
      <c r="D72" s="156"/>
      <c r="E72" s="152"/>
      <c r="F72" s="188"/>
      <c r="G72" s="237"/>
      <c r="H72" s="153"/>
    </row>
    <row r="73" spans="1:8" ht="15.75" thickBot="1" x14ac:dyDescent="0.3">
      <c r="A73" s="26"/>
      <c r="B73" s="141" t="str">
        <f t="shared" si="1"/>
        <v/>
      </c>
      <c r="C73" s="212" t="str">
        <f t="shared" si="2"/>
        <v/>
      </c>
      <c r="D73" s="156"/>
      <c r="E73" s="152"/>
      <c r="F73" s="188"/>
      <c r="G73" s="237"/>
      <c r="H73" s="153"/>
    </row>
    <row r="74" spans="1:8" ht="15.75" thickBot="1" x14ac:dyDescent="0.3">
      <c r="A74" s="26"/>
      <c r="B74" s="141" t="str">
        <f t="shared" si="1"/>
        <v/>
      </c>
      <c r="C74" s="212" t="str">
        <f t="shared" si="2"/>
        <v/>
      </c>
      <c r="D74" s="156"/>
      <c r="E74" s="152"/>
      <c r="F74" s="188"/>
      <c r="G74" s="237"/>
      <c r="H74" s="153"/>
    </row>
    <row r="75" spans="1:8" ht="15.75" thickBot="1" x14ac:dyDescent="0.3">
      <c r="A75" s="26"/>
      <c r="B75" s="141" t="str">
        <f t="shared" si="1"/>
        <v/>
      </c>
      <c r="C75" s="212" t="str">
        <f t="shared" si="2"/>
        <v/>
      </c>
      <c r="D75" s="156"/>
      <c r="E75" s="152"/>
      <c r="F75" s="188"/>
      <c r="G75" s="237"/>
      <c r="H75" s="153"/>
    </row>
    <row r="76" spans="1:8" ht="15.75" thickBot="1" x14ac:dyDescent="0.3">
      <c r="A76" s="26"/>
      <c r="B76" s="141" t="str">
        <f t="shared" si="1"/>
        <v/>
      </c>
      <c r="C76" s="212" t="str">
        <f t="shared" si="2"/>
        <v/>
      </c>
      <c r="D76" s="156"/>
      <c r="E76" s="152"/>
      <c r="F76" s="188"/>
      <c r="G76" s="237"/>
      <c r="H76" s="153"/>
    </row>
    <row r="77" spans="1:8" ht="15.75" thickBot="1" x14ac:dyDescent="0.3">
      <c r="A77" s="26"/>
      <c r="B77" s="141" t="str">
        <f t="shared" si="1"/>
        <v/>
      </c>
      <c r="C77" s="212" t="str">
        <f t="shared" si="2"/>
        <v/>
      </c>
      <c r="D77" s="156"/>
      <c r="E77" s="152"/>
      <c r="F77" s="188"/>
      <c r="G77" s="237"/>
      <c r="H77" s="153"/>
    </row>
    <row r="78" spans="1:8" ht="15.75" thickBot="1" x14ac:dyDescent="0.3">
      <c r="A78" s="26"/>
      <c r="B78" s="141" t="str">
        <f t="shared" si="1"/>
        <v/>
      </c>
      <c r="C78" s="212" t="str">
        <f t="shared" si="2"/>
        <v/>
      </c>
      <c r="D78" s="156"/>
      <c r="E78" s="120"/>
      <c r="F78" s="85"/>
      <c r="G78" s="237"/>
      <c r="H78" s="153"/>
    </row>
    <row r="79" spans="1:8" ht="15.75" thickBot="1" x14ac:dyDescent="0.3">
      <c r="A79" s="26"/>
      <c r="B79" s="141" t="str">
        <f t="shared" si="1"/>
        <v/>
      </c>
      <c r="C79" s="212" t="str">
        <f t="shared" si="2"/>
        <v/>
      </c>
      <c r="D79" s="156"/>
      <c r="E79" s="120"/>
      <c r="F79" s="85"/>
      <c r="G79" s="237"/>
      <c r="H79" s="153"/>
    </row>
    <row r="80" spans="1:8" ht="15.75" thickBot="1" x14ac:dyDescent="0.3">
      <c r="A80" s="26"/>
      <c r="B80" s="141" t="str">
        <f t="shared" si="1"/>
        <v/>
      </c>
      <c r="C80" s="212" t="str">
        <f t="shared" si="2"/>
        <v/>
      </c>
      <c r="D80" s="156"/>
      <c r="E80" s="120"/>
      <c r="F80" s="85"/>
      <c r="G80" s="237"/>
      <c r="H80" s="153"/>
    </row>
    <row r="81" spans="1:12" ht="15.75" thickBot="1" x14ac:dyDescent="0.3">
      <c r="A81" s="26"/>
      <c r="B81" s="141" t="str">
        <f t="shared" si="1"/>
        <v/>
      </c>
      <c r="C81" s="212" t="str">
        <f t="shared" si="2"/>
        <v/>
      </c>
      <c r="D81" s="156"/>
      <c r="E81" s="120"/>
      <c r="F81" s="85"/>
      <c r="G81" s="237"/>
      <c r="H81" s="153"/>
    </row>
    <row r="82" spans="1:12" ht="15.75" thickBot="1" x14ac:dyDescent="0.3">
      <c r="A82" s="26"/>
      <c r="B82" s="141" t="str">
        <f t="shared" si="1"/>
        <v/>
      </c>
      <c r="C82" s="212" t="str">
        <f t="shared" si="2"/>
        <v/>
      </c>
      <c r="D82" s="156"/>
      <c r="E82" s="120"/>
      <c r="F82" s="85"/>
      <c r="G82" s="237"/>
      <c r="H82" s="153"/>
    </row>
    <row r="83" spans="1:12" ht="15.75" thickBot="1" x14ac:dyDescent="0.3">
      <c r="A83" s="26"/>
      <c r="B83" s="141" t="str">
        <f t="shared" si="1"/>
        <v/>
      </c>
      <c r="C83" s="212" t="str">
        <f t="shared" si="2"/>
        <v/>
      </c>
      <c r="D83" s="156"/>
      <c r="E83" s="120"/>
      <c r="F83" s="85"/>
      <c r="G83" s="237"/>
      <c r="H83" s="153"/>
    </row>
    <row r="84" spans="1:12" ht="15.75" thickBot="1" x14ac:dyDescent="0.3">
      <c r="A84" s="26"/>
      <c r="B84" s="141" t="str">
        <f t="shared" si="1"/>
        <v/>
      </c>
      <c r="C84" s="212" t="str">
        <f t="shared" si="2"/>
        <v/>
      </c>
      <c r="D84" s="156"/>
      <c r="E84" s="120"/>
      <c r="F84" s="85"/>
      <c r="G84" s="237"/>
      <c r="H84" s="153"/>
    </row>
    <row r="85" spans="1:12" ht="15.75" thickBot="1" x14ac:dyDescent="0.3">
      <c r="A85" s="26"/>
      <c r="B85" s="141" t="str">
        <f t="shared" si="1"/>
        <v/>
      </c>
      <c r="C85" s="212" t="str">
        <f t="shared" si="2"/>
        <v/>
      </c>
      <c r="D85" s="156"/>
      <c r="E85" s="120"/>
      <c r="F85" s="85"/>
      <c r="G85" s="237"/>
      <c r="H85" s="153"/>
    </row>
    <row r="86" spans="1:12" ht="15.75" thickBot="1" x14ac:dyDescent="0.3">
      <c r="A86" s="26"/>
      <c r="B86" s="141" t="str">
        <f t="shared" si="1"/>
        <v/>
      </c>
      <c r="C86" s="212" t="str">
        <f t="shared" si="2"/>
        <v/>
      </c>
      <c r="D86" s="156"/>
      <c r="E86" s="120"/>
      <c r="F86" s="86"/>
      <c r="G86" s="238"/>
      <c r="H86" s="154"/>
    </row>
    <row r="87" spans="1:12" x14ac:dyDescent="0.25">
      <c r="B87" s="13"/>
      <c r="C87" s="13"/>
      <c r="J87" s="27"/>
      <c r="K87" s="27"/>
      <c r="L87" s="27"/>
    </row>
  </sheetData>
  <sheetProtection algorithmName="SHA-512" hashValue="EwQ7hN6xppVkoRODSZ5YgXaPKyYDEwB4HSoah/z/1afhGAC2UKvm6QpQlFYEUFmutQpqCo+sx8RjPjdLENZMng==" saltValue="nzN+cNLOsf5k+iD+XCyV+w==" spinCount="100000" sheet="1" objects="1" scenarios="1"/>
  <mergeCells count="46">
    <mergeCell ref="B50:I51"/>
    <mergeCell ref="B4:I4"/>
    <mergeCell ref="B2:F2"/>
    <mergeCell ref="B3:I3"/>
    <mergeCell ref="J9:L9"/>
    <mergeCell ref="B5:I5"/>
    <mergeCell ref="J13:L13"/>
    <mergeCell ref="J14:L14"/>
    <mergeCell ref="J15:L15"/>
    <mergeCell ref="J10:L10"/>
    <mergeCell ref="J11:L11"/>
    <mergeCell ref="J12:L12"/>
    <mergeCell ref="J16:L16"/>
    <mergeCell ref="J21:L21"/>
    <mergeCell ref="J22:L22"/>
    <mergeCell ref="J17:L17"/>
    <mergeCell ref="J23:L23"/>
    <mergeCell ref="J24:L24"/>
    <mergeCell ref="J25:L25"/>
    <mergeCell ref="J29:L29"/>
    <mergeCell ref="J18:L18"/>
    <mergeCell ref="J19:L19"/>
    <mergeCell ref="J20:L20"/>
    <mergeCell ref="J26:L26"/>
    <mergeCell ref="J27:L27"/>
    <mergeCell ref="J34:L34"/>
    <mergeCell ref="J35:L35"/>
    <mergeCell ref="J36:L36"/>
    <mergeCell ref="J37:L37"/>
    <mergeCell ref="J28:L28"/>
    <mergeCell ref="J7:L7"/>
    <mergeCell ref="J48:L48"/>
    <mergeCell ref="J46:L46"/>
    <mergeCell ref="J47:L47"/>
    <mergeCell ref="J42:L42"/>
    <mergeCell ref="J43:L43"/>
    <mergeCell ref="J44:L44"/>
    <mergeCell ref="J39:L39"/>
    <mergeCell ref="J40:L40"/>
    <mergeCell ref="J41:L41"/>
    <mergeCell ref="J30:L30"/>
    <mergeCell ref="J31:L31"/>
    <mergeCell ref="J32:L32"/>
    <mergeCell ref="J38:L38"/>
    <mergeCell ref="J8:L8"/>
    <mergeCell ref="J33:L33"/>
  </mergeCells>
  <conditionalFormatting sqref="B3">
    <cfRule type="expression" dxfId="7" priority="1">
      <formula>ISERROR($L3)</formula>
    </cfRule>
  </conditionalFormatting>
  <dataValidations count="2">
    <dataValidation type="list" allowBlank="1" showInputMessage="1" showErrorMessage="1" sqref="D55:D86" xr:uid="{00000000-0002-0000-0500-000000000000}">
      <formula1>SICProductCategories</formula1>
    </dataValidation>
    <dataValidation type="decimal" operator="greaterThan" allowBlank="1" showInputMessage="1" showErrorMessage="1" errorTitle="Numeric data" error="Please enter a number greater than zero" sqref="E57:E86 E55" xr:uid="{00000000-0002-0000-0500-000001000000}">
      <formula1>0</formula1>
    </dataValidation>
  </dataValidations>
  <pageMargins left="0.7" right="0.7" top="0.75" bottom="0.75" header="0.3" footer="0.3"/>
  <pageSetup paperSize="9" orientation="portrait"/>
  <headerFooter alignWithMargins="0"/>
  <ignoredErrors>
    <ignoredError sqref="C45" numberStoredAsText="1"/>
  </ignoredErrors>
  <legacy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27CCF9"/>
  </sheetPr>
  <dimension ref="A1:Q38"/>
  <sheetViews>
    <sheetView workbookViewId="0">
      <selection activeCell="B8" sqref="B8"/>
    </sheetView>
  </sheetViews>
  <sheetFormatPr defaultColWidth="8.5703125" defaultRowHeight="15" x14ac:dyDescent="0.25"/>
  <cols>
    <col min="1" max="1" width="2.140625" style="1" customWidth="1"/>
    <col min="2" max="2" width="24.140625" style="1" customWidth="1"/>
    <col min="3" max="3" width="19.5703125" style="1" customWidth="1"/>
    <col min="4" max="4" width="20.140625" style="1" customWidth="1"/>
    <col min="5" max="5" width="11.5703125" style="1" customWidth="1"/>
    <col min="6" max="6" width="20.5703125" style="1" customWidth="1"/>
    <col min="7" max="7" width="28.5703125" style="1" customWidth="1"/>
    <col min="8" max="8" width="21.42578125" style="1" customWidth="1"/>
    <col min="9" max="9" width="39.140625" style="1" customWidth="1"/>
    <col min="10" max="10" width="39.5703125" style="1" customWidth="1"/>
    <col min="11" max="11" width="10.140625" style="1" customWidth="1"/>
    <col min="12" max="12" width="13" style="1" customWidth="1"/>
    <col min="13" max="13" width="15.42578125" style="1" customWidth="1"/>
    <col min="14" max="14" width="20.5703125" style="1" customWidth="1"/>
    <col min="15" max="15" width="8.5703125" style="1" customWidth="1"/>
    <col min="16" max="16384" width="8.5703125" style="1"/>
  </cols>
  <sheetData>
    <row r="1" spans="1:17" ht="15.75" thickBot="1" x14ac:dyDescent="0.3">
      <c r="B1" s="363" t="s">
        <v>29</v>
      </c>
      <c r="C1" s="364"/>
      <c r="D1" s="364"/>
      <c r="E1" s="364"/>
      <c r="F1" s="364"/>
      <c r="G1" s="364"/>
      <c r="H1" s="135" t="s">
        <v>59</v>
      </c>
      <c r="I1" s="132" t="s">
        <v>2</v>
      </c>
      <c r="J1" s="133" t="s">
        <v>5</v>
      </c>
      <c r="K1" s="117"/>
      <c r="L1" s="117"/>
      <c r="M1" s="117"/>
      <c r="N1" s="117"/>
      <c r="O1" s="117"/>
      <c r="P1" s="117"/>
      <c r="Q1" s="117"/>
    </row>
    <row r="2" spans="1:17" ht="21.75" thickBot="1" x14ac:dyDescent="0.3">
      <c r="B2" s="365"/>
      <c r="C2" s="366"/>
      <c r="D2" s="366"/>
      <c r="E2" s="366"/>
      <c r="F2" s="366"/>
      <c r="G2" s="366"/>
      <c r="H2" s="136"/>
      <c r="I2" s="131" t="s">
        <v>3</v>
      </c>
      <c r="J2" s="134" t="s">
        <v>6</v>
      </c>
      <c r="K2" s="117"/>
      <c r="L2" s="117"/>
      <c r="M2" s="117"/>
      <c r="N2" s="117"/>
      <c r="O2" s="117"/>
      <c r="P2" s="117"/>
      <c r="Q2" s="117"/>
    </row>
    <row r="3" spans="1:17" ht="54" customHeight="1" thickBot="1" x14ac:dyDescent="0.3">
      <c r="A3" s="26"/>
      <c r="B3" s="313" t="s">
        <v>1039</v>
      </c>
      <c r="C3" s="327"/>
      <c r="D3" s="327"/>
      <c r="E3" s="327"/>
      <c r="F3" s="327"/>
      <c r="G3" s="327"/>
      <c r="H3" s="327"/>
      <c r="I3" s="327"/>
      <c r="J3" s="327"/>
      <c r="K3" s="117"/>
      <c r="L3" s="117"/>
      <c r="M3" s="117"/>
      <c r="N3" s="117"/>
      <c r="O3" s="117"/>
      <c r="P3" s="117"/>
      <c r="Q3" s="117"/>
    </row>
    <row r="4" spans="1:17" ht="95.25" customHeight="1" x14ac:dyDescent="0.25">
      <c r="A4" s="26"/>
      <c r="B4" s="313" t="s">
        <v>1029</v>
      </c>
      <c r="C4" s="327"/>
      <c r="D4" s="327"/>
      <c r="E4" s="327"/>
      <c r="F4" s="327"/>
      <c r="G4" s="327"/>
      <c r="H4" s="327"/>
      <c r="I4" s="327"/>
      <c r="J4" s="327"/>
      <c r="K4" s="117"/>
      <c r="L4" s="117"/>
      <c r="M4" s="117"/>
      <c r="N4" s="117"/>
      <c r="O4" s="63"/>
      <c r="P4" s="54"/>
    </row>
    <row r="5" spans="1:17" x14ac:dyDescent="0.25">
      <c r="A5" s="7"/>
      <c r="B5" s="27"/>
      <c r="C5" s="137"/>
      <c r="D5" s="137"/>
      <c r="E5" s="27"/>
      <c r="F5" s="27"/>
      <c r="G5" s="27"/>
      <c r="H5" s="27"/>
      <c r="I5" s="27"/>
      <c r="J5" s="27"/>
    </row>
    <row r="6" spans="1:17" ht="18.75" x14ac:dyDescent="0.25">
      <c r="B6" s="31" t="s">
        <v>260</v>
      </c>
      <c r="E6" s="143"/>
      <c r="F6" s="190" t="str">
        <f>IF(D8&lt;(E8+F8), "Error - Total kWh generated cannot be less than the sum of kWh used onsite and kWh exported", "")</f>
        <v/>
      </c>
      <c r="G6" s="189"/>
      <c r="H6" s="189"/>
      <c r="I6" s="189"/>
      <c r="J6" s="27"/>
      <c r="K6" s="27"/>
      <c r="L6" s="27"/>
      <c r="M6" s="27"/>
      <c r="N6" s="27"/>
      <c r="O6" s="27"/>
    </row>
    <row r="7" spans="1:17" ht="45.75" thickBot="1" x14ac:dyDescent="0.3">
      <c r="A7" s="27"/>
      <c r="B7" s="82" t="s">
        <v>261</v>
      </c>
      <c r="C7" s="83" t="s">
        <v>262</v>
      </c>
      <c r="D7" s="83" t="s">
        <v>263</v>
      </c>
      <c r="E7" s="83" t="s">
        <v>264</v>
      </c>
      <c r="F7" s="83" t="s">
        <v>265</v>
      </c>
      <c r="G7" s="83" t="s">
        <v>72</v>
      </c>
    </row>
    <row r="8" spans="1:17" ht="15.75" thickBot="1" x14ac:dyDescent="0.3">
      <c r="B8" s="157"/>
      <c r="C8" s="158"/>
      <c r="D8" s="120"/>
      <c r="E8" s="120"/>
      <c r="F8" s="120"/>
      <c r="G8" s="162"/>
    </row>
    <row r="9" spans="1:17" ht="15.75" thickBot="1" x14ac:dyDescent="0.3">
      <c r="B9" s="157"/>
      <c r="C9" s="158"/>
      <c r="D9" s="120"/>
      <c r="E9" s="120"/>
      <c r="F9" s="120"/>
      <c r="G9" s="162"/>
    </row>
    <row r="10" spans="1:17" ht="15.75" thickBot="1" x14ac:dyDescent="0.3">
      <c r="B10" s="157"/>
      <c r="C10" s="158"/>
      <c r="D10" s="120"/>
      <c r="E10" s="120"/>
      <c r="F10" s="120"/>
      <c r="G10" s="162"/>
    </row>
    <row r="11" spans="1:17" ht="15.75" thickBot="1" x14ac:dyDescent="0.3">
      <c r="B11" s="157"/>
      <c r="C11" s="158"/>
      <c r="D11" s="120"/>
      <c r="E11" s="120"/>
      <c r="F11" s="120"/>
      <c r="G11" s="162"/>
    </row>
    <row r="12" spans="1:17" ht="15.75" thickBot="1" x14ac:dyDescent="0.3">
      <c r="B12" s="157"/>
      <c r="C12" s="158"/>
      <c r="D12" s="120"/>
      <c r="E12" s="120"/>
      <c r="F12" s="120"/>
      <c r="G12" s="162"/>
    </row>
    <row r="13" spans="1:17" ht="15.75" thickBot="1" x14ac:dyDescent="0.3">
      <c r="B13" s="157"/>
      <c r="C13" s="158"/>
      <c r="D13" s="120"/>
      <c r="E13" s="120"/>
      <c r="F13" s="120"/>
      <c r="G13" s="162"/>
    </row>
    <row r="14" spans="1:17" ht="15.75" thickBot="1" x14ac:dyDescent="0.3">
      <c r="B14" s="157"/>
      <c r="C14" s="158"/>
      <c r="D14" s="120"/>
      <c r="E14" s="120"/>
      <c r="F14" s="120"/>
      <c r="G14" s="162"/>
    </row>
    <row r="15" spans="1:17" ht="15.75" thickBot="1" x14ac:dyDescent="0.3">
      <c r="B15" s="157"/>
      <c r="C15" s="158"/>
      <c r="D15" s="120"/>
      <c r="E15" s="120"/>
      <c r="F15" s="120"/>
      <c r="G15" s="162"/>
    </row>
    <row r="16" spans="1:17" ht="15.75" thickBot="1" x14ac:dyDescent="0.3">
      <c r="B16" s="157"/>
      <c r="C16" s="158"/>
      <c r="D16" s="120"/>
      <c r="E16" s="120"/>
      <c r="F16" s="120"/>
      <c r="G16" s="162"/>
    </row>
    <row r="17" spans="2:7" ht="15.75" thickBot="1" x14ac:dyDescent="0.3">
      <c r="B17" s="157"/>
      <c r="C17" s="158"/>
      <c r="D17" s="120"/>
      <c r="E17" s="120"/>
      <c r="F17" s="120"/>
      <c r="G17" s="162"/>
    </row>
    <row r="18" spans="2:7" ht="15.75" thickBot="1" x14ac:dyDescent="0.3">
      <c r="B18" s="157"/>
      <c r="C18" s="158"/>
      <c r="D18" s="120"/>
      <c r="E18" s="120"/>
      <c r="F18" s="120"/>
      <c r="G18" s="162"/>
    </row>
    <row r="19" spans="2:7" ht="15.75" thickBot="1" x14ac:dyDescent="0.3">
      <c r="B19" s="157"/>
      <c r="C19" s="158"/>
      <c r="D19" s="120"/>
      <c r="E19" s="120"/>
      <c r="F19" s="120"/>
      <c r="G19" s="162"/>
    </row>
    <row r="20" spans="2:7" ht="15.75" thickBot="1" x14ac:dyDescent="0.3">
      <c r="B20" s="157"/>
      <c r="C20" s="158"/>
      <c r="D20" s="120"/>
      <c r="E20" s="120"/>
      <c r="F20" s="120"/>
      <c r="G20" s="162"/>
    </row>
    <row r="21" spans="2:7" ht="15.75" thickBot="1" x14ac:dyDescent="0.3">
      <c r="B21" s="159"/>
      <c r="C21" s="160"/>
      <c r="D21" s="161"/>
      <c r="E21" s="161"/>
      <c r="F21" s="161"/>
      <c r="G21" s="162"/>
    </row>
    <row r="23" spans="2:7" ht="18.75" x14ac:dyDescent="0.25">
      <c r="B23" s="31" t="s">
        <v>271</v>
      </c>
      <c r="D23" s="13" t="s">
        <v>1016</v>
      </c>
    </row>
    <row r="24" spans="2:7" ht="15.75" thickBot="1" x14ac:dyDescent="0.3">
      <c r="B24" s="82" t="s">
        <v>261</v>
      </c>
      <c r="C24" s="83" t="s">
        <v>272</v>
      </c>
      <c r="D24" s="83" t="s">
        <v>273</v>
      </c>
      <c r="E24" s="146" t="s">
        <v>8</v>
      </c>
      <c r="F24" s="146" t="s">
        <v>689</v>
      </c>
      <c r="G24" s="83" t="s">
        <v>72</v>
      </c>
    </row>
    <row r="25" spans="2:7" ht="15.75" thickBot="1" x14ac:dyDescent="0.3">
      <c r="B25" s="157"/>
      <c r="C25" s="158"/>
      <c r="D25" s="120"/>
      <c r="E25" s="234"/>
      <c r="F25" s="145"/>
      <c r="G25" s="162"/>
    </row>
    <row r="26" spans="2:7" ht="15.75" thickBot="1" x14ac:dyDescent="0.3">
      <c r="B26" s="157"/>
      <c r="C26" s="158"/>
      <c r="D26" s="120"/>
      <c r="E26" s="234"/>
      <c r="F26" s="145"/>
      <c r="G26" s="162"/>
    </row>
    <row r="27" spans="2:7" ht="15.75" thickBot="1" x14ac:dyDescent="0.3">
      <c r="B27" s="157"/>
      <c r="C27" s="158"/>
      <c r="D27" s="120"/>
      <c r="E27" s="234"/>
      <c r="F27" s="145"/>
      <c r="G27" s="162"/>
    </row>
    <row r="28" spans="2:7" ht="15.75" thickBot="1" x14ac:dyDescent="0.3">
      <c r="B28" s="157"/>
      <c r="C28" s="158"/>
      <c r="D28" s="120"/>
      <c r="E28" s="234"/>
      <c r="F28" s="145"/>
      <c r="G28" s="162"/>
    </row>
    <row r="29" spans="2:7" ht="15.75" thickBot="1" x14ac:dyDescent="0.3">
      <c r="B29" s="157"/>
      <c r="C29" s="158"/>
      <c r="D29" s="120"/>
      <c r="E29" s="234"/>
      <c r="F29" s="145"/>
      <c r="G29" s="162"/>
    </row>
    <row r="30" spans="2:7" ht="15.75" thickBot="1" x14ac:dyDescent="0.3">
      <c r="B30" s="157"/>
      <c r="C30" s="158"/>
      <c r="D30" s="120"/>
      <c r="E30" s="234"/>
      <c r="F30" s="145"/>
      <c r="G30" s="162"/>
    </row>
    <row r="31" spans="2:7" ht="15.75" thickBot="1" x14ac:dyDescent="0.3">
      <c r="B31" s="157"/>
      <c r="C31" s="158"/>
      <c r="D31" s="120"/>
      <c r="E31" s="234"/>
      <c r="F31" s="145"/>
      <c r="G31" s="162"/>
    </row>
    <row r="32" spans="2:7" ht="15.75" thickBot="1" x14ac:dyDescent="0.3">
      <c r="B32" s="157"/>
      <c r="C32" s="158"/>
      <c r="D32" s="120"/>
      <c r="E32" s="234"/>
      <c r="F32" s="145"/>
      <c r="G32" s="162"/>
    </row>
    <row r="33" spans="2:7" ht="15.75" thickBot="1" x14ac:dyDescent="0.3">
      <c r="B33" s="157"/>
      <c r="C33" s="158"/>
      <c r="D33" s="120"/>
      <c r="E33" s="234"/>
      <c r="F33" s="145"/>
      <c r="G33" s="162"/>
    </row>
    <row r="34" spans="2:7" ht="15.75" thickBot="1" x14ac:dyDescent="0.3">
      <c r="B34" s="157"/>
      <c r="C34" s="158"/>
      <c r="D34" s="120"/>
      <c r="E34" s="234"/>
      <c r="F34" s="145"/>
      <c r="G34" s="162"/>
    </row>
    <row r="35" spans="2:7" ht="14.1" customHeight="1" thickBot="1" x14ac:dyDescent="0.3">
      <c r="B35" s="157"/>
      <c r="C35" s="158"/>
      <c r="D35" s="120"/>
      <c r="E35" s="234"/>
      <c r="F35" s="145"/>
      <c r="G35" s="162"/>
    </row>
    <row r="36" spans="2:7" ht="15.75" thickBot="1" x14ac:dyDescent="0.3">
      <c r="B36" s="157"/>
      <c r="C36" s="158"/>
      <c r="D36" s="120"/>
      <c r="E36" s="234"/>
      <c r="F36" s="145"/>
      <c r="G36" s="162"/>
    </row>
    <row r="37" spans="2:7" ht="15.75" thickBot="1" x14ac:dyDescent="0.3">
      <c r="B37" s="157"/>
      <c r="C37" s="158"/>
      <c r="D37" s="120"/>
      <c r="E37" s="234"/>
      <c r="F37" s="145"/>
      <c r="G37" s="162"/>
    </row>
    <row r="38" spans="2:7" ht="15.75" thickBot="1" x14ac:dyDescent="0.3">
      <c r="B38" s="159"/>
      <c r="C38" s="160"/>
      <c r="D38" s="161"/>
      <c r="E38" s="234"/>
      <c r="F38" s="145"/>
      <c r="G38" s="162"/>
    </row>
  </sheetData>
  <sheetProtection algorithmName="SHA-512" hashValue="UDKNYyWxBUTkn9apAs+K9YR0SPtfxiGBAyCCSRntOX4DpMhvkWpvgGaFG7o9Kyh06Mi8J6UbefcHifR/y5wdVw==" saltValue="xEKgGCrusKV7qKm+gwNEJg==" spinCount="100000" sheet="1" objects="1" scenarios="1"/>
  <mergeCells count="3">
    <mergeCell ref="B3:J3"/>
    <mergeCell ref="B4:J4"/>
    <mergeCell ref="B1:G2"/>
  </mergeCells>
  <conditionalFormatting sqref="B3:B4">
    <cfRule type="expression" dxfId="6" priority="1">
      <formula>ISERROR($L3)</formula>
    </cfRule>
  </conditionalFormatting>
  <dataValidations count="4">
    <dataValidation type="list" allowBlank="1" showInputMessage="1" showErrorMessage="1" sqref="B8:B21" xr:uid="{00000000-0002-0000-0600-000000000000}">
      <formula1>INDIRECT(SUBSTITUTE($B$6," ",""))</formula1>
    </dataValidation>
    <dataValidation type="list" allowBlank="1" showInputMessage="1" showErrorMessage="1" sqref="C8:C21" xr:uid="{00000000-0002-0000-0600-000001000000}">
      <formula1>INDIRECT(CONCATENATE(SUBSTITUTE(B8," ","")&amp;SUBSTITUTE(C$7," ","")))</formula1>
    </dataValidation>
    <dataValidation type="list" allowBlank="1" showInputMessage="1" showErrorMessage="1" sqref="B25:B38" xr:uid="{00000000-0002-0000-0600-000002000000}">
      <formula1>INDIRECT(SUBSTITUTE($B$23," ",""))</formula1>
    </dataValidation>
    <dataValidation type="list" allowBlank="1" showInputMessage="1" showErrorMessage="1" sqref="C25:C38" xr:uid="{00000000-0002-0000-0600-000003000000}">
      <formula1>INDIRECT(CONCATENATE(SUBSTITUTE(B25," ","")&amp;SUBSTITUTE(C$24," ","")))</formula1>
    </dataValidation>
  </dataValidations>
  <pageMargins left="0.7" right="0.7" top="0.75" bottom="0.75" header="0.3" footer="0.3"/>
  <pageSetup paperSize="9" orientation="portrait"/>
  <headerFooter alignWithMargins="0"/>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7" tint="0.79998168889431442"/>
  </sheetPr>
  <dimension ref="A1:BA381"/>
  <sheetViews>
    <sheetView zoomScale="85" workbookViewId="0">
      <pane xSplit="10" ySplit="2" topLeftCell="K3" activePane="bottomRight" state="frozen"/>
      <selection pane="topRight"/>
      <selection pane="bottomLeft"/>
      <selection pane="bottomRight" activeCell="K14" sqref="K14"/>
    </sheetView>
  </sheetViews>
  <sheetFormatPr defaultColWidth="8.85546875" defaultRowHeight="15" x14ac:dyDescent="0.25"/>
  <cols>
    <col min="1" max="9" width="6.140625" style="1" customWidth="1"/>
    <col min="10" max="10" width="15" style="1" customWidth="1"/>
    <col min="11" max="11" width="22.140625" style="1" customWidth="1"/>
    <col min="12" max="12" width="14" style="1" customWidth="1"/>
    <col min="13" max="13" width="11.5703125" style="1" customWidth="1"/>
    <col min="14" max="14" width="15.85546875" style="1" customWidth="1"/>
    <col min="15" max="15" width="11.5703125" style="1" customWidth="1"/>
    <col min="16" max="22" width="13.85546875" style="1" customWidth="1"/>
    <col min="23" max="26" width="8.85546875" style="1" customWidth="1"/>
    <col min="27" max="27" width="5.140625" style="1" customWidth="1"/>
    <col min="28" max="28" width="4.85546875" style="1" customWidth="1"/>
    <col min="29" max="29" width="5.5703125" style="1" customWidth="1"/>
    <col min="30" max="52" width="4.85546875" style="1" customWidth="1"/>
    <col min="53" max="53" width="24.7109375" style="1" customWidth="1"/>
    <col min="54" max="54" width="8.85546875" style="1" customWidth="1"/>
    <col min="55" max="16384" width="8.85546875" style="1"/>
  </cols>
  <sheetData>
    <row r="1" spans="1:53" ht="23.45" customHeight="1" thickBot="1" x14ac:dyDescent="0.3">
      <c r="D1" s="13"/>
      <c r="K1" s="231"/>
      <c r="P1" s="13"/>
      <c r="U1" s="26"/>
      <c r="V1" s="93" t="s">
        <v>792</v>
      </c>
      <c r="W1" s="367" t="s">
        <v>1055</v>
      </c>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2"/>
      <c r="AV1" s="367" t="s">
        <v>277</v>
      </c>
      <c r="AW1" s="311"/>
      <c r="AX1" s="312"/>
      <c r="AY1" s="109"/>
      <c r="AZ1" s="109"/>
      <c r="BA1" s="54"/>
    </row>
    <row r="2" spans="1:53" ht="91.5" customHeight="1" thickBot="1" x14ac:dyDescent="0.3">
      <c r="A2" s="25" t="s">
        <v>60</v>
      </c>
      <c r="B2" s="25" t="s">
        <v>92</v>
      </c>
      <c r="C2" s="25" t="s">
        <v>278</v>
      </c>
      <c r="D2" s="25" t="s">
        <v>101</v>
      </c>
      <c r="E2" s="25" t="s">
        <v>25</v>
      </c>
      <c r="F2" s="25" t="s">
        <v>22</v>
      </c>
      <c r="G2" s="25" t="s">
        <v>23</v>
      </c>
      <c r="H2" s="25" t="s">
        <v>24</v>
      </c>
      <c r="I2" s="142" t="s">
        <v>279</v>
      </c>
      <c r="J2" s="11" t="s">
        <v>96</v>
      </c>
      <c r="K2" s="11" t="s">
        <v>64</v>
      </c>
      <c r="L2" s="11" t="s">
        <v>104</v>
      </c>
      <c r="M2" s="11" t="s">
        <v>70</v>
      </c>
      <c r="N2" s="11" t="s">
        <v>280</v>
      </c>
      <c r="O2" s="11" t="s">
        <v>69</v>
      </c>
      <c r="P2" s="8" t="s">
        <v>14</v>
      </c>
      <c r="Q2" s="8" t="s">
        <v>73</v>
      </c>
      <c r="R2" s="8" t="s">
        <v>74</v>
      </c>
      <c r="S2" s="8" t="s">
        <v>75</v>
      </c>
      <c r="T2" s="8" t="s">
        <v>76</v>
      </c>
      <c r="U2" s="8" t="s">
        <v>17</v>
      </c>
      <c r="V2" s="8" t="s">
        <v>71</v>
      </c>
      <c r="W2" s="92" t="s">
        <v>281</v>
      </c>
      <c r="X2" s="92" t="s">
        <v>964</v>
      </c>
      <c r="Y2" s="33" t="s">
        <v>282</v>
      </c>
      <c r="Z2" s="33" t="s">
        <v>283</v>
      </c>
      <c r="AA2" s="33" t="s">
        <v>284</v>
      </c>
      <c r="AB2" s="33" t="s">
        <v>285</v>
      </c>
      <c r="AC2" s="33" t="s">
        <v>286</v>
      </c>
      <c r="AD2" s="33" t="s">
        <v>287</v>
      </c>
      <c r="AE2" s="33" t="s">
        <v>288</v>
      </c>
      <c r="AF2" s="33" t="s">
        <v>289</v>
      </c>
      <c r="AG2" s="33" t="s">
        <v>290</v>
      </c>
      <c r="AH2" s="33" t="s">
        <v>291</v>
      </c>
      <c r="AI2" s="33" t="s">
        <v>292</v>
      </c>
      <c r="AJ2" s="33" t="s">
        <v>293</v>
      </c>
      <c r="AK2" s="33" t="s">
        <v>294</v>
      </c>
      <c r="AL2" s="33" t="s">
        <v>295</v>
      </c>
      <c r="AM2" s="33" t="s">
        <v>296</v>
      </c>
      <c r="AN2" s="33" t="s">
        <v>297</v>
      </c>
      <c r="AO2" s="33" t="s">
        <v>298</v>
      </c>
      <c r="AP2" s="33" t="s">
        <v>693</v>
      </c>
      <c r="AQ2" s="33" t="s">
        <v>692</v>
      </c>
      <c r="AR2" s="33" t="s">
        <v>299</v>
      </c>
      <c r="AS2" s="33" t="s">
        <v>300</v>
      </c>
      <c r="AT2" s="33" t="s">
        <v>24</v>
      </c>
      <c r="AU2" s="33" t="s">
        <v>17</v>
      </c>
      <c r="AV2" s="33" t="s">
        <v>301</v>
      </c>
      <c r="AW2" s="33" t="s">
        <v>302</v>
      </c>
      <c r="AX2" s="33" t="s">
        <v>303</v>
      </c>
      <c r="AY2" s="33" t="s">
        <v>304</v>
      </c>
      <c r="AZ2" s="33" t="s">
        <v>1056</v>
      </c>
      <c r="BA2" s="17"/>
    </row>
    <row r="3" spans="1:53" ht="26.25" customHeight="1" thickBot="1" x14ac:dyDescent="0.3">
      <c r="A3" s="24" t="s">
        <v>305</v>
      </c>
      <c r="B3" s="24" t="s">
        <v>306</v>
      </c>
      <c r="C3" s="24" t="s">
        <v>306</v>
      </c>
      <c r="D3" s="24" t="s">
        <v>306</v>
      </c>
      <c r="E3" s="24" t="s">
        <v>306</v>
      </c>
      <c r="F3" s="24" t="s">
        <v>306</v>
      </c>
      <c r="G3" s="24" t="s">
        <v>306</v>
      </c>
      <c r="H3" s="24" t="s">
        <v>306</v>
      </c>
      <c r="I3" s="24" t="s">
        <v>306</v>
      </c>
      <c r="J3" s="4" t="s">
        <v>78</v>
      </c>
      <c r="K3" s="5" t="s">
        <v>79</v>
      </c>
      <c r="L3" s="5" t="s">
        <v>307</v>
      </c>
      <c r="M3" s="5" t="s">
        <v>81</v>
      </c>
      <c r="N3" s="5" t="s">
        <v>308</v>
      </c>
      <c r="O3" s="285">
        <f>(0.8*14.01)</f>
        <v>11.208</v>
      </c>
      <c r="P3" s="286">
        <v>0.18290000000000001</v>
      </c>
      <c r="Q3" s="91"/>
      <c r="R3" s="91"/>
      <c r="S3" s="91"/>
      <c r="T3" s="287">
        <v>3.0210000000000001E-2</v>
      </c>
      <c r="U3" s="91"/>
      <c r="V3" s="99">
        <f t="shared" ref="V3:V34" si="0">SUM(P3:U3)</f>
        <v>0.21311000000000002</v>
      </c>
      <c r="W3" s="24" t="s">
        <v>305</v>
      </c>
      <c r="X3" s="24"/>
      <c r="Y3" s="24"/>
      <c r="Z3" s="24"/>
      <c r="AA3" s="24"/>
      <c r="AB3" s="24" t="s">
        <v>305</v>
      </c>
      <c r="AC3" s="24"/>
      <c r="AD3" s="24"/>
      <c r="AE3" s="24"/>
      <c r="AF3" s="34"/>
      <c r="AG3" s="34"/>
      <c r="AH3" s="34"/>
      <c r="AI3" s="34"/>
      <c r="AJ3" s="34"/>
      <c r="AK3" s="34"/>
      <c r="AL3" s="34"/>
      <c r="AM3" s="34"/>
      <c r="AN3" s="34"/>
      <c r="AO3" s="34"/>
      <c r="AP3" s="34"/>
      <c r="AQ3" s="34"/>
      <c r="AR3" s="34"/>
      <c r="AS3" s="34"/>
      <c r="AT3" s="34"/>
      <c r="AU3" s="34"/>
      <c r="AV3" s="34"/>
      <c r="AW3" s="34"/>
      <c r="AX3" s="34"/>
      <c r="AY3" s="34"/>
      <c r="AZ3" s="34"/>
      <c r="BA3" s="5" t="s">
        <v>309</v>
      </c>
    </row>
    <row r="4" spans="1:53" ht="15.75" thickBot="1" x14ac:dyDescent="0.3">
      <c r="A4" s="24" t="s">
        <v>305</v>
      </c>
      <c r="B4" s="24" t="s">
        <v>306</v>
      </c>
      <c r="C4" s="24" t="s">
        <v>305</v>
      </c>
      <c r="D4" s="24" t="s">
        <v>306</v>
      </c>
      <c r="E4" s="24" t="s">
        <v>306</v>
      </c>
      <c r="F4" s="24" t="s">
        <v>306</v>
      </c>
      <c r="G4" s="24" t="s">
        <v>306</v>
      </c>
      <c r="H4" s="24" t="s">
        <v>306</v>
      </c>
      <c r="I4" s="24" t="s">
        <v>306</v>
      </c>
      <c r="J4" s="4" t="s">
        <v>84</v>
      </c>
      <c r="K4" s="5" t="s">
        <v>85</v>
      </c>
      <c r="L4" s="5" t="s">
        <v>307</v>
      </c>
      <c r="M4" s="5" t="s">
        <v>81</v>
      </c>
      <c r="N4" s="5" t="s">
        <v>310</v>
      </c>
      <c r="O4" s="285">
        <v>7.28</v>
      </c>
      <c r="P4" s="286">
        <v>0.2145</v>
      </c>
      <c r="Q4" s="91"/>
      <c r="R4" s="91"/>
      <c r="S4" s="91"/>
      <c r="T4" s="287">
        <v>2.5479999999999999E-2</v>
      </c>
      <c r="U4" s="91"/>
      <c r="V4" s="99">
        <f t="shared" si="0"/>
        <v>0.23998</v>
      </c>
      <c r="W4" s="24" t="s">
        <v>305</v>
      </c>
      <c r="X4" s="34"/>
      <c r="Y4" s="34"/>
      <c r="Z4" s="34"/>
      <c r="AA4" s="34"/>
      <c r="AB4" s="34" t="s">
        <v>305</v>
      </c>
      <c r="AC4" s="34"/>
      <c r="AD4" s="34"/>
      <c r="AE4" s="34"/>
      <c r="AF4" s="34"/>
      <c r="AG4" s="34"/>
      <c r="AH4" s="34"/>
      <c r="AI4" s="34"/>
      <c r="AJ4" s="34"/>
      <c r="AK4" s="34"/>
      <c r="AL4" s="34"/>
      <c r="AM4" s="34"/>
      <c r="AN4" s="34"/>
      <c r="AO4" s="34"/>
      <c r="AP4" s="34"/>
      <c r="AQ4" s="34"/>
      <c r="AR4" s="34"/>
      <c r="AS4" s="34"/>
      <c r="AT4" s="34"/>
      <c r="AU4" s="34"/>
      <c r="AV4" s="34"/>
      <c r="AW4" s="34"/>
      <c r="AX4" s="34"/>
      <c r="AY4" s="34"/>
      <c r="AZ4" s="34"/>
      <c r="BA4" s="5"/>
    </row>
    <row r="5" spans="1:53" ht="39" thickBot="1" x14ac:dyDescent="0.3">
      <c r="A5" s="24" t="s">
        <v>305</v>
      </c>
      <c r="B5" s="24" t="s">
        <v>306</v>
      </c>
      <c r="C5" s="24" t="s">
        <v>306</v>
      </c>
      <c r="D5" s="24" t="s">
        <v>306</v>
      </c>
      <c r="E5" s="24" t="s">
        <v>306</v>
      </c>
      <c r="F5" s="24" t="s">
        <v>306</v>
      </c>
      <c r="G5" s="24" t="s">
        <v>306</v>
      </c>
      <c r="H5" s="24" t="s">
        <v>306</v>
      </c>
      <c r="I5" s="24" t="s">
        <v>306</v>
      </c>
      <c r="J5" s="4" t="s">
        <v>90</v>
      </c>
      <c r="K5" s="5" t="s">
        <v>91</v>
      </c>
      <c r="L5" s="5" t="s">
        <v>307</v>
      </c>
      <c r="M5" s="5" t="s">
        <v>81</v>
      </c>
      <c r="N5" s="5" t="s">
        <v>310</v>
      </c>
      <c r="O5" s="285">
        <v>10.301</v>
      </c>
      <c r="P5" s="286">
        <v>0.24676999999999999</v>
      </c>
      <c r="Q5" s="91"/>
      <c r="R5" s="91"/>
      <c r="S5" s="91"/>
      <c r="T5" s="287">
        <v>5.1529999999999999E-2</v>
      </c>
      <c r="U5" s="91"/>
      <c r="V5" s="99">
        <f t="shared" si="0"/>
        <v>0.29830000000000001</v>
      </c>
      <c r="W5" s="24" t="s">
        <v>305</v>
      </c>
      <c r="X5" s="34"/>
      <c r="Y5" s="34"/>
      <c r="Z5" s="34"/>
      <c r="AA5" s="34"/>
      <c r="AB5" s="34" t="s">
        <v>305</v>
      </c>
      <c r="AC5" s="34"/>
      <c r="AD5" s="34"/>
      <c r="AE5" s="34"/>
      <c r="AF5" s="34"/>
      <c r="AG5" s="34"/>
      <c r="AH5" s="34"/>
      <c r="AI5" s="34"/>
      <c r="AJ5" s="34"/>
      <c r="AK5" s="34"/>
      <c r="AL5" s="34"/>
      <c r="AM5" s="34"/>
      <c r="AN5" s="34"/>
      <c r="AO5" s="34"/>
      <c r="AP5" s="34"/>
      <c r="AQ5" s="34"/>
      <c r="AR5" s="34"/>
      <c r="AS5" s="34"/>
      <c r="AT5" s="34"/>
      <c r="AU5" s="34"/>
      <c r="AV5" s="34"/>
      <c r="AW5" s="34"/>
      <c r="AX5" s="34"/>
      <c r="AY5" s="34"/>
      <c r="AZ5" s="34"/>
      <c r="BA5" s="5" t="s">
        <v>981</v>
      </c>
    </row>
    <row r="6" spans="1:53" ht="15.75" thickBot="1" x14ac:dyDescent="0.3">
      <c r="A6" s="24" t="s">
        <v>305</v>
      </c>
      <c r="B6" s="24" t="s">
        <v>306</v>
      </c>
      <c r="C6" s="24" t="s">
        <v>305</v>
      </c>
      <c r="D6" s="24" t="s">
        <v>306</v>
      </c>
      <c r="E6" s="24" t="s">
        <v>306</v>
      </c>
      <c r="F6" s="24" t="s">
        <v>306</v>
      </c>
      <c r="G6" s="24" t="s">
        <v>306</v>
      </c>
      <c r="H6" s="24" t="s">
        <v>306</v>
      </c>
      <c r="I6" s="24" t="s">
        <v>306</v>
      </c>
      <c r="J6" s="4" t="s">
        <v>86</v>
      </c>
      <c r="K6" s="5" t="s">
        <v>87</v>
      </c>
      <c r="L6" s="5" t="s">
        <v>307</v>
      </c>
      <c r="M6" s="5" t="s">
        <v>81</v>
      </c>
      <c r="N6" s="5" t="s">
        <v>310</v>
      </c>
      <c r="O6" s="285">
        <v>10.598000000000001</v>
      </c>
      <c r="P6" s="286">
        <v>0.25649</v>
      </c>
      <c r="Q6" s="91"/>
      <c r="R6" s="91"/>
      <c r="S6" s="91"/>
      <c r="T6" s="287">
        <v>5.9130000000000002E-2</v>
      </c>
      <c r="U6" s="91"/>
      <c r="V6" s="99">
        <f t="shared" si="0"/>
        <v>0.31562000000000001</v>
      </c>
      <c r="W6" s="34" t="s">
        <v>305</v>
      </c>
      <c r="X6" s="34"/>
      <c r="Y6" s="34"/>
      <c r="Z6" s="34"/>
      <c r="AA6" s="34"/>
      <c r="AB6" s="34" t="s">
        <v>305</v>
      </c>
      <c r="AC6" s="34"/>
      <c r="AD6" s="34"/>
      <c r="AE6" s="34"/>
      <c r="AF6" s="34"/>
      <c r="AG6" s="34"/>
      <c r="AH6" s="34"/>
      <c r="AI6" s="34"/>
      <c r="AJ6" s="34"/>
      <c r="AK6" s="34"/>
      <c r="AL6" s="34"/>
      <c r="AM6" s="34"/>
      <c r="AN6" s="34"/>
      <c r="AO6" s="34"/>
      <c r="AP6" s="34"/>
      <c r="AQ6" s="34"/>
      <c r="AR6" s="34"/>
      <c r="AS6" s="34"/>
      <c r="AT6" s="34"/>
      <c r="AU6" s="34"/>
      <c r="AV6" s="34"/>
      <c r="AW6" s="34"/>
      <c r="AX6" s="34"/>
      <c r="AY6" s="34"/>
      <c r="AZ6" s="34"/>
      <c r="BA6" s="5"/>
    </row>
    <row r="7" spans="1:53" ht="15.75" thickBot="1" x14ac:dyDescent="0.3">
      <c r="A7" s="24" t="s">
        <v>305</v>
      </c>
      <c r="B7" s="24" t="s">
        <v>306</v>
      </c>
      <c r="C7" s="24" t="s">
        <v>306</v>
      </c>
      <c r="D7" s="24" t="s">
        <v>306</v>
      </c>
      <c r="E7" s="24" t="s">
        <v>306</v>
      </c>
      <c r="F7" s="24" t="s">
        <v>306</v>
      </c>
      <c r="G7" s="24" t="s">
        <v>306</v>
      </c>
      <c r="H7" s="24" t="s">
        <v>306</v>
      </c>
      <c r="I7" s="24" t="s">
        <v>306</v>
      </c>
      <c r="J7" s="4" t="s">
        <v>282</v>
      </c>
      <c r="K7" s="5" t="s">
        <v>311</v>
      </c>
      <c r="L7" s="5" t="s">
        <v>307</v>
      </c>
      <c r="M7" s="5" t="s">
        <v>81</v>
      </c>
      <c r="N7" s="5" t="s">
        <v>113</v>
      </c>
      <c r="O7" s="285">
        <f>5.193*1000</f>
        <v>5193</v>
      </c>
      <c r="P7" s="287">
        <v>1.132E-2</v>
      </c>
      <c r="Q7" s="91"/>
      <c r="R7" s="91"/>
      <c r="S7" s="91"/>
      <c r="T7" s="287">
        <v>3.7440000000000001E-2</v>
      </c>
      <c r="U7" s="299">
        <v>0.35</v>
      </c>
      <c r="V7" s="99">
        <f t="shared" si="0"/>
        <v>0.39876</v>
      </c>
      <c r="W7" s="34"/>
      <c r="X7" s="34"/>
      <c r="Y7" s="34" t="s">
        <v>305</v>
      </c>
      <c r="Z7" s="34"/>
      <c r="AA7" s="34"/>
      <c r="AB7" s="34"/>
      <c r="AC7" s="34" t="s">
        <v>305</v>
      </c>
      <c r="AD7" s="34"/>
      <c r="AE7" s="34"/>
      <c r="AF7" s="34"/>
      <c r="AG7" s="34"/>
      <c r="AH7" s="34"/>
      <c r="AI7" s="34"/>
      <c r="AJ7" s="34"/>
      <c r="AK7" s="34"/>
      <c r="AL7" s="34"/>
      <c r="AM7" s="34"/>
      <c r="AN7" s="34"/>
      <c r="AO7" s="34"/>
      <c r="AP7" s="34"/>
      <c r="AQ7" s="34"/>
      <c r="AR7" s="34"/>
      <c r="AS7" s="34"/>
      <c r="AT7" s="34"/>
      <c r="AU7" s="34" t="s">
        <v>305</v>
      </c>
      <c r="AV7" s="34"/>
      <c r="AW7" s="34"/>
      <c r="AX7" s="34"/>
      <c r="AY7" s="34"/>
      <c r="AZ7" s="34"/>
      <c r="BA7" s="5"/>
    </row>
    <row r="8" spans="1:53" ht="15.75" thickBot="1" x14ac:dyDescent="0.3">
      <c r="A8" s="24" t="s">
        <v>305</v>
      </c>
      <c r="B8" s="24" t="s">
        <v>306</v>
      </c>
      <c r="C8" s="24" t="s">
        <v>306</v>
      </c>
      <c r="D8" s="24" t="s">
        <v>306</v>
      </c>
      <c r="E8" s="24" t="s">
        <v>306</v>
      </c>
      <c r="F8" s="24" t="s">
        <v>306</v>
      </c>
      <c r="G8" s="24" t="s">
        <v>306</v>
      </c>
      <c r="H8" s="24" t="s">
        <v>306</v>
      </c>
      <c r="I8" s="24" t="s">
        <v>306</v>
      </c>
      <c r="J8" s="4" t="s">
        <v>282</v>
      </c>
      <c r="K8" s="5" t="s">
        <v>312</v>
      </c>
      <c r="L8" s="5" t="s">
        <v>307</v>
      </c>
      <c r="M8" s="5" t="s">
        <v>81</v>
      </c>
      <c r="N8" s="5" t="s">
        <v>113</v>
      </c>
      <c r="O8" s="285">
        <f>4.087*1000</f>
        <v>4086.9999999999995</v>
      </c>
      <c r="P8" s="287">
        <v>1.132E-2</v>
      </c>
      <c r="Q8" s="91"/>
      <c r="R8" s="91"/>
      <c r="S8" s="91"/>
      <c r="T8" s="287">
        <v>7.92E-3</v>
      </c>
      <c r="U8" s="299">
        <v>0.35</v>
      </c>
      <c r="V8" s="99">
        <f t="shared" si="0"/>
        <v>0.36923999999999996</v>
      </c>
      <c r="W8" s="34"/>
      <c r="X8" s="34"/>
      <c r="Y8" s="34" t="s">
        <v>305</v>
      </c>
      <c r="Z8" s="34"/>
      <c r="AA8" s="34"/>
      <c r="AB8" s="34"/>
      <c r="AC8" s="34" t="s">
        <v>305</v>
      </c>
      <c r="AD8" s="34"/>
      <c r="AE8" s="34"/>
      <c r="AF8" s="34"/>
      <c r="AG8" s="34"/>
      <c r="AH8" s="34"/>
      <c r="AI8" s="34"/>
      <c r="AJ8" s="34"/>
      <c r="AK8" s="34"/>
      <c r="AL8" s="34"/>
      <c r="AM8" s="34"/>
      <c r="AN8" s="34"/>
      <c r="AO8" s="34"/>
      <c r="AP8" s="34"/>
      <c r="AQ8" s="34"/>
      <c r="AR8" s="34"/>
      <c r="AS8" s="34"/>
      <c r="AT8" s="34"/>
      <c r="AU8" s="34" t="s">
        <v>305</v>
      </c>
      <c r="AV8" s="34"/>
      <c r="AW8" s="34"/>
      <c r="AX8" s="34"/>
      <c r="AY8" s="34"/>
      <c r="AZ8" s="34"/>
      <c r="BA8" s="5"/>
    </row>
    <row r="9" spans="1:53" ht="15.75" thickBot="1" x14ac:dyDescent="0.3">
      <c r="A9" s="24" t="s">
        <v>305</v>
      </c>
      <c r="B9" s="24" t="s">
        <v>306</v>
      </c>
      <c r="C9" s="24" t="s">
        <v>306</v>
      </c>
      <c r="D9" s="24" t="s">
        <v>306</v>
      </c>
      <c r="E9" s="24" t="s">
        <v>306</v>
      </c>
      <c r="F9" s="24" t="s">
        <v>306</v>
      </c>
      <c r="G9" s="24" t="s">
        <v>306</v>
      </c>
      <c r="H9" s="24" t="s">
        <v>306</v>
      </c>
      <c r="I9" s="24" t="s">
        <v>306</v>
      </c>
      <c r="J9" s="4" t="s">
        <v>282</v>
      </c>
      <c r="K9" s="5" t="s">
        <v>313</v>
      </c>
      <c r="L9" s="5" t="s">
        <v>307</v>
      </c>
      <c r="M9" s="5" t="s">
        <v>81</v>
      </c>
      <c r="N9" s="5" t="s">
        <v>113</v>
      </c>
      <c r="O9" s="285">
        <f>6.105*1000</f>
        <v>6105</v>
      </c>
      <c r="P9" s="287">
        <v>2.3000000000000001E-4</v>
      </c>
      <c r="Q9" s="91"/>
      <c r="R9" s="91"/>
      <c r="S9" s="91"/>
      <c r="T9" s="287">
        <v>1.8509999999999999E-2</v>
      </c>
      <c r="U9" s="299">
        <v>0.19902</v>
      </c>
      <c r="V9" s="99">
        <f t="shared" si="0"/>
        <v>0.21776000000000001</v>
      </c>
      <c r="W9" s="34"/>
      <c r="X9" s="34"/>
      <c r="Y9" s="34" t="s">
        <v>305</v>
      </c>
      <c r="Z9" s="34"/>
      <c r="AA9" s="34"/>
      <c r="AB9" s="34"/>
      <c r="AC9" s="34" t="s">
        <v>305</v>
      </c>
      <c r="AD9" s="34"/>
      <c r="AE9" s="34"/>
      <c r="AF9" s="34"/>
      <c r="AG9" s="34"/>
      <c r="AH9" s="34"/>
      <c r="AI9" s="34"/>
      <c r="AJ9" s="34"/>
      <c r="AK9" s="34"/>
      <c r="AL9" s="34"/>
      <c r="AM9" s="34"/>
      <c r="AN9" s="34"/>
      <c r="AO9" s="34"/>
      <c r="AP9" s="34"/>
      <c r="AQ9" s="34"/>
      <c r="AR9" s="34"/>
      <c r="AS9" s="34"/>
      <c r="AT9" s="34"/>
      <c r="AU9" s="34" t="s">
        <v>305</v>
      </c>
      <c r="AV9" s="34"/>
      <c r="AW9" s="34"/>
      <c r="AX9" s="34"/>
      <c r="AY9" s="34"/>
      <c r="AZ9" s="34"/>
      <c r="BA9" s="5"/>
    </row>
    <row r="10" spans="1:53" ht="15.75" thickBot="1" x14ac:dyDescent="0.3">
      <c r="A10" s="24" t="s">
        <v>305</v>
      </c>
      <c r="B10" s="24" t="s">
        <v>306</v>
      </c>
      <c r="C10" s="24" t="s">
        <v>306</v>
      </c>
      <c r="D10" s="24" t="s">
        <v>306</v>
      </c>
      <c r="E10" s="24" t="s">
        <v>306</v>
      </c>
      <c r="F10" s="24" t="s">
        <v>306</v>
      </c>
      <c r="G10" s="24" t="s">
        <v>306</v>
      </c>
      <c r="H10" s="24" t="s">
        <v>306</v>
      </c>
      <c r="I10" s="24" t="s">
        <v>306</v>
      </c>
      <c r="J10" s="4" t="s">
        <v>435</v>
      </c>
      <c r="K10" s="5" t="s">
        <v>386</v>
      </c>
      <c r="L10" s="5" t="s">
        <v>307</v>
      </c>
      <c r="M10" s="5" t="s">
        <v>81</v>
      </c>
      <c r="N10" s="5" t="s">
        <v>113</v>
      </c>
      <c r="O10" s="285">
        <f>8.366*1000</f>
        <v>8366</v>
      </c>
      <c r="P10" s="286">
        <v>0.34721000000000002</v>
      </c>
      <c r="Q10" s="91"/>
      <c r="R10" s="91"/>
      <c r="S10" s="91"/>
      <c r="T10" s="287">
        <v>5.629E-2</v>
      </c>
      <c r="U10" s="91"/>
      <c r="V10" s="99">
        <f t="shared" si="0"/>
        <v>0.40350000000000003</v>
      </c>
      <c r="W10" s="34" t="s">
        <v>305</v>
      </c>
      <c r="X10" s="34"/>
      <c r="Y10" s="34"/>
      <c r="Z10" s="34"/>
      <c r="AA10" s="34"/>
      <c r="AB10" s="34" t="s">
        <v>305</v>
      </c>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5"/>
    </row>
    <row r="11" spans="1:53" ht="77.25" thickBot="1" x14ac:dyDescent="0.3">
      <c r="A11" s="24" t="s">
        <v>305</v>
      </c>
      <c r="B11" s="24" t="s">
        <v>305</v>
      </c>
      <c r="C11" s="24" t="s">
        <v>305</v>
      </c>
      <c r="D11" s="24" t="s">
        <v>306</v>
      </c>
      <c r="E11" s="24" t="s">
        <v>306</v>
      </c>
      <c r="F11" s="24" t="s">
        <v>305</v>
      </c>
      <c r="G11" s="24" t="s">
        <v>305</v>
      </c>
      <c r="H11" s="24" t="s">
        <v>306</v>
      </c>
      <c r="I11" s="24" t="s">
        <v>306</v>
      </c>
      <c r="J11" s="4" t="s">
        <v>88</v>
      </c>
      <c r="K11" s="5" t="s">
        <v>89</v>
      </c>
      <c r="L11" s="5"/>
      <c r="M11" s="5" t="s">
        <v>81</v>
      </c>
      <c r="N11" s="5"/>
      <c r="O11" s="5"/>
      <c r="P11" s="91"/>
      <c r="Q11" s="286">
        <v>0.20705000000000001</v>
      </c>
      <c r="R11" s="91"/>
      <c r="S11" s="286">
        <v>1.83E-2</v>
      </c>
      <c r="T11" s="287">
        <v>4.5900000000000003E-2</v>
      </c>
      <c r="U11" s="299">
        <f>0.115069241546259</f>
        <v>0.115069241546259</v>
      </c>
      <c r="V11" s="99">
        <f t="shared" si="0"/>
        <v>0.38631924154625907</v>
      </c>
      <c r="W11" s="34"/>
      <c r="X11" s="34"/>
      <c r="Y11" s="34"/>
      <c r="Z11" s="34" t="s">
        <v>305</v>
      </c>
      <c r="AA11" s="34"/>
      <c r="AB11" s="34"/>
      <c r="AC11" s="34"/>
      <c r="AD11" s="34" t="s">
        <v>305</v>
      </c>
      <c r="AE11" s="34" t="s">
        <v>305</v>
      </c>
      <c r="AF11" s="34"/>
      <c r="AG11" s="34"/>
      <c r="AH11" s="34"/>
      <c r="AI11" s="34"/>
      <c r="AJ11" s="34"/>
      <c r="AK11" s="34"/>
      <c r="AL11" s="34"/>
      <c r="AM11" s="34"/>
      <c r="AN11" s="34"/>
      <c r="AO11" s="34"/>
      <c r="AP11" s="34"/>
      <c r="AQ11" s="34"/>
      <c r="AR11" s="34"/>
      <c r="AS11" s="34"/>
      <c r="AT11" s="34"/>
      <c r="AU11" s="34"/>
      <c r="AV11" s="34"/>
      <c r="AW11" s="34"/>
      <c r="AX11" s="34"/>
      <c r="AY11" s="34"/>
      <c r="AZ11" s="34"/>
      <c r="BA11" s="5" t="s">
        <v>314</v>
      </c>
    </row>
    <row r="12" spans="1:53" ht="26.25" thickBot="1" x14ac:dyDescent="0.3">
      <c r="A12" s="24" t="s">
        <v>305</v>
      </c>
      <c r="B12" s="24" t="s">
        <v>306</v>
      </c>
      <c r="C12" s="24" t="s">
        <v>306</v>
      </c>
      <c r="D12" s="24" t="s">
        <v>306</v>
      </c>
      <c r="E12" s="24" t="s">
        <v>306</v>
      </c>
      <c r="F12" s="24" t="s">
        <v>306</v>
      </c>
      <c r="G12" s="24" t="s">
        <v>306</v>
      </c>
      <c r="H12" s="24" t="s">
        <v>306</v>
      </c>
      <c r="I12" s="24" t="s">
        <v>306</v>
      </c>
      <c r="J12" s="4" t="s">
        <v>284</v>
      </c>
      <c r="K12" s="5" t="s">
        <v>315</v>
      </c>
      <c r="L12" s="5"/>
      <c r="M12" s="5" t="s">
        <v>81</v>
      </c>
      <c r="N12" s="5"/>
      <c r="O12" s="5"/>
      <c r="P12" s="91"/>
      <c r="Q12" s="286">
        <v>0.17965</v>
      </c>
      <c r="R12" s="91"/>
      <c r="S12" s="91"/>
      <c r="T12" s="287">
        <v>3.3410000000000002E-2</v>
      </c>
      <c r="U12" s="91"/>
      <c r="V12" s="99">
        <f t="shared" si="0"/>
        <v>0.21306</v>
      </c>
      <c r="W12" s="34"/>
      <c r="X12" s="34"/>
      <c r="Y12" s="34"/>
      <c r="Z12" s="34"/>
      <c r="AA12" s="34" t="s">
        <v>305</v>
      </c>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5" t="s">
        <v>316</v>
      </c>
    </row>
    <row r="13" spans="1:53" ht="39" thickBot="1" x14ac:dyDescent="0.3">
      <c r="A13" s="24" t="s">
        <v>305</v>
      </c>
      <c r="B13" s="24" t="s">
        <v>306</v>
      </c>
      <c r="C13" s="24" t="s">
        <v>306</v>
      </c>
      <c r="D13" s="24" t="s">
        <v>306</v>
      </c>
      <c r="E13" s="24" t="s">
        <v>306</v>
      </c>
      <c r="F13" s="24" t="s">
        <v>306</v>
      </c>
      <c r="G13" s="24" t="s">
        <v>306</v>
      </c>
      <c r="H13" s="24" t="s">
        <v>306</v>
      </c>
      <c r="I13" s="24" t="s">
        <v>306</v>
      </c>
      <c r="J13" s="4" t="s">
        <v>284</v>
      </c>
      <c r="K13" s="5" t="s">
        <v>317</v>
      </c>
      <c r="L13" s="5"/>
      <c r="M13" s="5" t="s">
        <v>81</v>
      </c>
      <c r="N13" s="5"/>
      <c r="O13" s="5"/>
      <c r="P13" s="91"/>
      <c r="Q13" s="286">
        <v>0.17964657181208055</v>
      </c>
      <c r="R13" s="91"/>
      <c r="S13" s="299">
        <v>9.4599999999999997E-3</v>
      </c>
      <c r="T13" s="287">
        <v>3.3410000000000002E-2</v>
      </c>
      <c r="U13" s="91"/>
      <c r="V13" s="99">
        <f t="shared" si="0"/>
        <v>0.22251657181208054</v>
      </c>
      <c r="W13" s="34"/>
      <c r="X13" s="34"/>
      <c r="Y13" s="34"/>
      <c r="Z13" s="34"/>
      <c r="AA13" s="34" t="s">
        <v>305</v>
      </c>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5" t="s">
        <v>318</v>
      </c>
    </row>
    <row r="14" spans="1:53" ht="15.75" thickBot="1" x14ac:dyDescent="0.3">
      <c r="A14" s="24" t="s">
        <v>305</v>
      </c>
      <c r="B14" s="24" t="s">
        <v>306</v>
      </c>
      <c r="C14" s="24" t="s">
        <v>306</v>
      </c>
      <c r="D14" s="24" t="s">
        <v>306</v>
      </c>
      <c r="E14" s="24" t="s">
        <v>306</v>
      </c>
      <c r="F14" s="24" t="s">
        <v>306</v>
      </c>
      <c r="G14" s="24" t="s">
        <v>306</v>
      </c>
      <c r="H14" s="24" t="s">
        <v>306</v>
      </c>
      <c r="I14" s="24" t="s">
        <v>306</v>
      </c>
      <c r="J14" s="4" t="s">
        <v>319</v>
      </c>
      <c r="K14" s="5" t="s">
        <v>320</v>
      </c>
      <c r="L14" s="5"/>
      <c r="M14" s="5" t="s">
        <v>308</v>
      </c>
      <c r="N14" s="5" t="s">
        <v>310</v>
      </c>
      <c r="O14" s="285">
        <v>1E-3</v>
      </c>
      <c r="P14" s="91"/>
      <c r="Q14" s="91"/>
      <c r="R14" s="286">
        <v>0.15311</v>
      </c>
      <c r="S14" s="91"/>
      <c r="T14" s="91"/>
      <c r="U14" s="91"/>
      <c r="V14" s="99">
        <f t="shared" si="0"/>
        <v>0.15311</v>
      </c>
      <c r="W14" s="34"/>
      <c r="X14" s="34"/>
      <c r="Y14" s="34"/>
      <c r="Z14" s="34"/>
      <c r="AA14" s="34"/>
      <c r="AB14" s="34"/>
      <c r="AC14" s="34"/>
      <c r="AD14" s="34"/>
      <c r="AE14" s="34"/>
      <c r="AF14" s="34"/>
      <c r="AG14" s="34" t="s">
        <v>305</v>
      </c>
      <c r="AH14" s="34"/>
      <c r="AI14" s="34"/>
      <c r="AJ14" s="34"/>
      <c r="AK14" s="34"/>
      <c r="AL14" s="34"/>
      <c r="AM14" s="34"/>
      <c r="AN14" s="34"/>
      <c r="AO14" s="34"/>
      <c r="AP14" s="34"/>
      <c r="AQ14" s="34"/>
      <c r="AR14" s="34"/>
      <c r="AS14" s="34"/>
      <c r="AT14" s="34"/>
      <c r="AU14" s="34"/>
      <c r="AV14" s="34"/>
      <c r="AW14" s="34"/>
      <c r="AX14" s="34"/>
      <c r="AY14" s="34"/>
      <c r="AZ14" s="34"/>
      <c r="BA14" s="5"/>
    </row>
    <row r="15" spans="1:53" ht="15.75" thickBot="1" x14ac:dyDescent="0.3">
      <c r="A15" s="24" t="s">
        <v>305</v>
      </c>
      <c r="B15" s="24" t="s">
        <v>306</v>
      </c>
      <c r="C15" s="24" t="s">
        <v>306</v>
      </c>
      <c r="D15" s="24" t="s">
        <v>306</v>
      </c>
      <c r="E15" s="24" t="s">
        <v>306</v>
      </c>
      <c r="F15" s="24" t="s">
        <v>306</v>
      </c>
      <c r="G15" s="24" t="s">
        <v>306</v>
      </c>
      <c r="H15" s="24" t="s">
        <v>306</v>
      </c>
      <c r="I15" s="24" t="s">
        <v>306</v>
      </c>
      <c r="J15" s="4" t="s">
        <v>319</v>
      </c>
      <c r="K15" s="5" t="s">
        <v>321</v>
      </c>
      <c r="L15" s="5"/>
      <c r="M15" s="5" t="s">
        <v>308</v>
      </c>
      <c r="N15" s="5" t="s">
        <v>310</v>
      </c>
      <c r="O15" s="285">
        <v>1E-3</v>
      </c>
      <c r="P15" s="91"/>
      <c r="Q15" s="91"/>
      <c r="R15" s="286">
        <v>0.18573999999999999</v>
      </c>
      <c r="S15" s="91"/>
      <c r="T15" s="91"/>
      <c r="U15" s="91"/>
      <c r="V15" s="99">
        <f t="shared" si="0"/>
        <v>0.18573999999999999</v>
      </c>
      <c r="W15" s="34"/>
      <c r="X15" s="34"/>
      <c r="Y15" s="34"/>
      <c r="Z15" s="34"/>
      <c r="AA15" s="34"/>
      <c r="AB15" s="34"/>
      <c r="AC15" s="34"/>
      <c r="AD15" s="34"/>
      <c r="AE15" s="34"/>
      <c r="AF15" s="34"/>
      <c r="AG15" s="34"/>
      <c r="AH15" s="34" t="s">
        <v>305</v>
      </c>
      <c r="AI15" s="34"/>
      <c r="AJ15" s="34"/>
      <c r="AK15" s="34"/>
      <c r="AL15" s="34"/>
      <c r="AM15" s="34"/>
      <c r="AN15" s="34"/>
      <c r="AO15" s="34"/>
      <c r="AP15" s="34"/>
      <c r="AQ15" s="34"/>
      <c r="AR15" s="34"/>
      <c r="AS15" s="34"/>
      <c r="AT15" s="34"/>
      <c r="AU15" s="34"/>
      <c r="AV15" s="34"/>
      <c r="AW15" s="34"/>
      <c r="AX15" s="34"/>
      <c r="AY15" s="34"/>
      <c r="AZ15" s="34"/>
      <c r="BA15" s="5"/>
    </row>
    <row r="16" spans="1:53" ht="51.75" thickBot="1" x14ac:dyDescent="0.3">
      <c r="A16" s="24" t="s">
        <v>305</v>
      </c>
      <c r="B16" s="24" t="s">
        <v>306</v>
      </c>
      <c r="C16" s="24" t="s">
        <v>306</v>
      </c>
      <c r="D16" s="24" t="s">
        <v>306</v>
      </c>
      <c r="E16" s="24" t="s">
        <v>306</v>
      </c>
      <c r="F16" s="24" t="s">
        <v>306</v>
      </c>
      <c r="G16" s="24" t="s">
        <v>306</v>
      </c>
      <c r="H16" s="24" t="s">
        <v>306</v>
      </c>
      <c r="I16" s="24" t="s">
        <v>306</v>
      </c>
      <c r="J16" s="4" t="s">
        <v>319</v>
      </c>
      <c r="K16" s="5" t="s">
        <v>322</v>
      </c>
      <c r="L16" s="5"/>
      <c r="M16" s="5" t="s">
        <v>308</v>
      </c>
      <c r="N16" s="5" t="s">
        <v>310</v>
      </c>
      <c r="O16" s="285">
        <v>1E-3</v>
      </c>
      <c r="P16" s="91"/>
      <c r="Q16" s="91"/>
      <c r="R16" s="90">
        <v>0</v>
      </c>
      <c r="S16" s="91"/>
      <c r="T16" s="91"/>
      <c r="U16" s="91"/>
      <c r="V16" s="99">
        <f t="shared" si="0"/>
        <v>0</v>
      </c>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5" t="s">
        <v>323</v>
      </c>
    </row>
    <row r="17" spans="1:53" ht="39" thickBot="1" x14ac:dyDescent="0.3">
      <c r="A17" s="24" t="s">
        <v>305</v>
      </c>
      <c r="B17" s="24" t="s">
        <v>306</v>
      </c>
      <c r="C17" s="24" t="s">
        <v>306</v>
      </c>
      <c r="D17" s="24" t="s">
        <v>306</v>
      </c>
      <c r="E17" s="24" t="s">
        <v>306</v>
      </c>
      <c r="F17" s="24" t="s">
        <v>306</v>
      </c>
      <c r="G17" s="24" t="s">
        <v>306</v>
      </c>
      <c r="H17" s="24" t="s">
        <v>306</v>
      </c>
      <c r="I17" s="24" t="s">
        <v>306</v>
      </c>
      <c r="J17" s="4" t="s">
        <v>319</v>
      </c>
      <c r="K17" s="5" t="s">
        <v>324</v>
      </c>
      <c r="L17" s="5"/>
      <c r="M17" s="5" t="s">
        <v>308</v>
      </c>
      <c r="N17" s="5" t="s">
        <v>310</v>
      </c>
      <c r="O17" s="285">
        <v>1E-3</v>
      </c>
      <c r="P17" s="91"/>
      <c r="Q17" s="91"/>
      <c r="R17" s="90">
        <v>0</v>
      </c>
      <c r="S17" s="91"/>
      <c r="T17" s="91"/>
      <c r="U17" s="91"/>
      <c r="V17" s="99">
        <f t="shared" si="0"/>
        <v>0</v>
      </c>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5" t="s">
        <v>325</v>
      </c>
    </row>
    <row r="18" spans="1:53" ht="15.75" thickBot="1" x14ac:dyDescent="0.3">
      <c r="A18" s="24" t="s">
        <v>306</v>
      </c>
      <c r="B18" s="24" t="s">
        <v>306</v>
      </c>
      <c r="C18" s="24" t="s">
        <v>305</v>
      </c>
      <c r="D18" s="24" t="s">
        <v>306</v>
      </c>
      <c r="E18" s="24" t="s">
        <v>306</v>
      </c>
      <c r="F18" s="24" t="s">
        <v>306</v>
      </c>
      <c r="G18" s="24" t="s">
        <v>306</v>
      </c>
      <c r="H18" s="24" t="s">
        <v>306</v>
      </c>
      <c r="I18" s="24" t="s">
        <v>306</v>
      </c>
      <c r="J18" s="4" t="s">
        <v>326</v>
      </c>
      <c r="K18" s="5" t="s">
        <v>327</v>
      </c>
      <c r="L18" s="5"/>
      <c r="M18" s="5" t="s">
        <v>81</v>
      </c>
      <c r="N18" s="5" t="s">
        <v>310</v>
      </c>
      <c r="O18" s="285">
        <v>10.506</v>
      </c>
      <c r="P18" s="286">
        <v>0.23902000000000001</v>
      </c>
      <c r="Q18" s="91"/>
      <c r="R18" s="91"/>
      <c r="S18" s="91"/>
      <c r="T18" s="287">
        <v>5.8160000000000003E-2</v>
      </c>
      <c r="U18" s="300">
        <v>0.02</v>
      </c>
      <c r="V18" s="99">
        <f t="shared" si="0"/>
        <v>0.31718000000000002</v>
      </c>
      <c r="W18" s="34" t="s">
        <v>305</v>
      </c>
      <c r="X18" s="34"/>
      <c r="Y18" s="34"/>
      <c r="Z18" s="34"/>
      <c r="AA18" s="34"/>
      <c r="AB18" s="34" t="s">
        <v>305</v>
      </c>
      <c r="AC18" s="34"/>
      <c r="AD18" s="34"/>
      <c r="AE18" s="34"/>
      <c r="AF18" s="34"/>
      <c r="AG18" s="34"/>
      <c r="AH18" s="34"/>
      <c r="AI18" s="34"/>
      <c r="AJ18" s="34"/>
      <c r="AK18" s="34"/>
      <c r="AL18" s="34"/>
      <c r="AM18" s="34"/>
      <c r="AN18" s="34"/>
      <c r="AO18" s="34"/>
      <c r="AP18" s="34"/>
      <c r="AQ18" s="34"/>
      <c r="AR18" s="34"/>
      <c r="AS18" s="34"/>
      <c r="AT18" s="34"/>
      <c r="AU18" s="34" t="s">
        <v>305</v>
      </c>
      <c r="AV18" s="34"/>
      <c r="AW18" s="34"/>
      <c r="AX18" s="34"/>
      <c r="AY18" s="34"/>
      <c r="AZ18" s="34"/>
      <c r="BA18" s="5"/>
    </row>
    <row r="19" spans="1:53" ht="15.75" thickBot="1" x14ac:dyDescent="0.3">
      <c r="A19" s="24" t="s">
        <v>306</v>
      </c>
      <c r="B19" s="24" t="s">
        <v>306</v>
      </c>
      <c r="C19" s="24" t="s">
        <v>305</v>
      </c>
      <c r="D19" s="24" t="s">
        <v>306</v>
      </c>
      <c r="E19" s="24" t="s">
        <v>306</v>
      </c>
      <c r="F19" s="24" t="s">
        <v>306</v>
      </c>
      <c r="G19" s="24" t="s">
        <v>306</v>
      </c>
      <c r="H19" s="24" t="s">
        <v>306</v>
      </c>
      <c r="I19" s="24" t="s">
        <v>306</v>
      </c>
      <c r="J19" s="4" t="s">
        <v>326</v>
      </c>
      <c r="K19" s="5" t="s">
        <v>328</v>
      </c>
      <c r="L19" s="5"/>
      <c r="M19" s="5" t="s">
        <v>81</v>
      </c>
      <c r="N19" s="5" t="s">
        <v>310</v>
      </c>
      <c r="O19" s="285">
        <v>10.554</v>
      </c>
      <c r="P19" s="286">
        <v>0.25197000000000003</v>
      </c>
      <c r="Q19" s="91"/>
      <c r="R19" s="91"/>
      <c r="S19" s="91"/>
      <c r="T19" s="287">
        <v>5.9130000000000002E-2</v>
      </c>
      <c r="U19" s="91"/>
      <c r="V19" s="99">
        <f t="shared" si="0"/>
        <v>0.31110000000000004</v>
      </c>
      <c r="W19" s="34" t="s">
        <v>305</v>
      </c>
      <c r="X19" s="34"/>
      <c r="Y19" s="34"/>
      <c r="Z19" s="34"/>
      <c r="AA19" s="34"/>
      <c r="AB19" s="34" t="s">
        <v>305</v>
      </c>
      <c r="AC19" s="34"/>
      <c r="AD19" s="34"/>
      <c r="AE19" s="34"/>
      <c r="AF19" s="34"/>
      <c r="AG19" s="34"/>
      <c r="AH19" s="34"/>
      <c r="AI19" s="34"/>
      <c r="AJ19" s="34"/>
      <c r="AK19" s="34"/>
      <c r="AL19" s="34"/>
      <c r="AM19" s="34"/>
      <c r="AN19" s="34"/>
      <c r="AO19" s="34"/>
      <c r="AP19" s="34"/>
      <c r="AQ19" s="34"/>
      <c r="AR19" s="34"/>
      <c r="AS19" s="34"/>
      <c r="AT19" s="34"/>
      <c r="AU19" s="34" t="s">
        <v>305</v>
      </c>
      <c r="AV19" s="34"/>
      <c r="AW19" s="34"/>
      <c r="AX19" s="34"/>
      <c r="AY19" s="34"/>
      <c r="AZ19" s="34"/>
      <c r="BA19" s="5"/>
    </row>
    <row r="20" spans="1:53" ht="15.75" thickBot="1" x14ac:dyDescent="0.3">
      <c r="A20" s="24" t="s">
        <v>306</v>
      </c>
      <c r="B20" s="24" t="s">
        <v>306</v>
      </c>
      <c r="C20" s="24" t="s">
        <v>305</v>
      </c>
      <c r="D20" s="24" t="s">
        <v>306</v>
      </c>
      <c r="E20" s="24" t="s">
        <v>306</v>
      </c>
      <c r="F20" s="24" t="s">
        <v>306</v>
      </c>
      <c r="G20" s="24" t="s">
        <v>306</v>
      </c>
      <c r="H20" s="24" t="s">
        <v>306</v>
      </c>
      <c r="I20" s="24" t="s">
        <v>306</v>
      </c>
      <c r="J20" s="5" t="s">
        <v>107</v>
      </c>
      <c r="K20" s="5" t="s">
        <v>327</v>
      </c>
      <c r="L20" s="5"/>
      <c r="M20" s="5" t="s">
        <v>81</v>
      </c>
      <c r="N20" s="5" t="s">
        <v>310</v>
      </c>
      <c r="O20" s="285">
        <v>9.4619999999999997</v>
      </c>
      <c r="P20" s="286">
        <v>0.22012999999999999</v>
      </c>
      <c r="Q20" s="91"/>
      <c r="R20" s="91"/>
      <c r="S20" s="91"/>
      <c r="T20" s="287">
        <v>6.1400000000000003E-2</v>
      </c>
      <c r="U20" s="300">
        <v>0.01</v>
      </c>
      <c r="V20" s="99">
        <f t="shared" si="0"/>
        <v>0.29153000000000001</v>
      </c>
      <c r="W20" s="34" t="s">
        <v>305</v>
      </c>
      <c r="X20" s="34"/>
      <c r="Y20" s="34"/>
      <c r="Z20" s="34"/>
      <c r="AA20" s="34"/>
      <c r="AB20" s="34" t="s">
        <v>305</v>
      </c>
      <c r="AC20" s="34"/>
      <c r="AD20" s="34"/>
      <c r="AE20" s="34"/>
      <c r="AF20" s="34"/>
      <c r="AG20" s="34"/>
      <c r="AH20" s="34"/>
      <c r="AI20" s="34"/>
      <c r="AJ20" s="34"/>
      <c r="AK20" s="34"/>
      <c r="AL20" s="34"/>
      <c r="AM20" s="34"/>
      <c r="AN20" s="34"/>
      <c r="AO20" s="34"/>
      <c r="AP20" s="34"/>
      <c r="AQ20" s="34"/>
      <c r="AR20" s="34"/>
      <c r="AS20" s="34"/>
      <c r="AT20" s="34"/>
      <c r="AU20" s="34" t="s">
        <v>305</v>
      </c>
      <c r="AV20" s="34"/>
      <c r="AW20" s="34"/>
      <c r="AX20" s="34"/>
      <c r="AY20" s="34"/>
      <c r="AZ20" s="34"/>
      <c r="BA20" s="5"/>
    </row>
    <row r="21" spans="1:53" ht="15.75" thickBot="1" x14ac:dyDescent="0.3">
      <c r="A21" s="24" t="s">
        <v>306</v>
      </c>
      <c r="B21" s="24" t="s">
        <v>306</v>
      </c>
      <c r="C21" s="24" t="s">
        <v>305</v>
      </c>
      <c r="D21" s="24" t="s">
        <v>306</v>
      </c>
      <c r="E21" s="24" t="s">
        <v>306</v>
      </c>
      <c r="F21" s="24" t="s">
        <v>306</v>
      </c>
      <c r="G21" s="24" t="s">
        <v>306</v>
      </c>
      <c r="H21" s="24" t="s">
        <v>306</v>
      </c>
      <c r="I21" s="24" t="s">
        <v>306</v>
      </c>
      <c r="J21" s="5" t="s">
        <v>107</v>
      </c>
      <c r="K21" s="5" t="s">
        <v>329</v>
      </c>
      <c r="L21" s="5"/>
      <c r="M21" s="5" t="s">
        <v>81</v>
      </c>
      <c r="N21" s="5" t="s">
        <v>310</v>
      </c>
      <c r="O21" s="285">
        <v>9.702</v>
      </c>
      <c r="P21" s="286">
        <v>0.24185999999999999</v>
      </c>
      <c r="Q21" s="91"/>
      <c r="R21" s="91"/>
      <c r="S21" s="91"/>
      <c r="T21" s="287">
        <v>6.2530000000000002E-2</v>
      </c>
      <c r="U21" s="91"/>
      <c r="V21" s="99">
        <f t="shared" si="0"/>
        <v>0.30438999999999999</v>
      </c>
      <c r="W21" s="34" t="s">
        <v>305</v>
      </c>
      <c r="X21" s="34"/>
      <c r="Y21" s="34"/>
      <c r="Z21" s="34"/>
      <c r="AA21" s="34"/>
      <c r="AB21" s="34" t="s">
        <v>305</v>
      </c>
      <c r="AC21" s="34"/>
      <c r="AD21" s="34"/>
      <c r="AE21" s="34"/>
      <c r="AF21" s="34"/>
      <c r="AG21" s="34"/>
      <c r="AH21" s="34"/>
      <c r="AI21" s="34"/>
      <c r="AJ21" s="34"/>
      <c r="AK21" s="34"/>
      <c r="AL21" s="34"/>
      <c r="AM21" s="34"/>
      <c r="AN21" s="34"/>
      <c r="AO21" s="34"/>
      <c r="AP21" s="34"/>
      <c r="AQ21" s="34"/>
      <c r="AR21" s="34"/>
      <c r="AS21" s="34"/>
      <c r="AT21" s="34"/>
      <c r="AU21" s="34" t="s">
        <v>305</v>
      </c>
      <c r="AV21" s="34"/>
      <c r="AW21" s="34"/>
      <c r="AX21" s="34"/>
      <c r="AY21" s="34"/>
      <c r="AZ21" s="34"/>
      <c r="BA21" s="5"/>
    </row>
    <row r="22" spans="1:53" ht="64.5" thickBot="1" x14ac:dyDescent="0.3">
      <c r="A22" s="24" t="s">
        <v>305</v>
      </c>
      <c r="B22" s="24" t="s">
        <v>306</v>
      </c>
      <c r="C22" s="24" t="s">
        <v>305</v>
      </c>
      <c r="D22" s="24" t="s">
        <v>306</v>
      </c>
      <c r="E22" s="24" t="s">
        <v>306</v>
      </c>
      <c r="F22" s="24" t="s">
        <v>306</v>
      </c>
      <c r="G22" s="24" t="s">
        <v>306</v>
      </c>
      <c r="H22" s="24" t="s">
        <v>306</v>
      </c>
      <c r="I22" s="24" t="s">
        <v>306</v>
      </c>
      <c r="J22" s="5" t="s">
        <v>330</v>
      </c>
      <c r="K22" s="5" t="s">
        <v>331</v>
      </c>
      <c r="L22" s="5"/>
      <c r="M22" s="5" t="s">
        <v>81</v>
      </c>
      <c r="N22" s="5" t="s">
        <v>310</v>
      </c>
      <c r="O22" s="285">
        <v>9.9309999999999992</v>
      </c>
      <c r="P22" s="286">
        <f>0.03558/O22</f>
        <v>3.5827207733360191E-3</v>
      </c>
      <c r="Q22" s="91"/>
      <c r="R22" s="91"/>
      <c r="S22" s="91"/>
      <c r="T22" s="287">
        <f>0.559/O22</f>
        <v>5.6288389890242686E-2</v>
      </c>
      <c r="U22" s="300">
        <f>2.43/O22</f>
        <v>0.24468834961232508</v>
      </c>
      <c r="V22" s="99">
        <f t="shared" si="0"/>
        <v>0.3045594602759038</v>
      </c>
      <c r="W22" s="34"/>
      <c r="X22" s="34"/>
      <c r="Y22" s="34" t="s">
        <v>305</v>
      </c>
      <c r="Z22" s="34"/>
      <c r="AA22" s="34"/>
      <c r="AB22" s="34"/>
      <c r="AC22" s="34" t="s">
        <v>305</v>
      </c>
      <c r="AD22" s="34"/>
      <c r="AE22" s="34"/>
      <c r="AF22" s="34"/>
      <c r="AG22" s="34"/>
      <c r="AH22" s="34"/>
      <c r="AI22" s="34"/>
      <c r="AJ22" s="34"/>
      <c r="AK22" s="34"/>
      <c r="AL22" s="34"/>
      <c r="AM22" s="34"/>
      <c r="AN22" s="34"/>
      <c r="AO22" s="34"/>
      <c r="AP22" s="34"/>
      <c r="AQ22" s="34"/>
      <c r="AR22" s="34"/>
      <c r="AS22" s="34"/>
      <c r="AT22" s="34"/>
      <c r="AU22" s="34" t="s">
        <v>305</v>
      </c>
      <c r="AV22" s="34"/>
      <c r="AW22" s="34"/>
      <c r="AX22" s="34"/>
      <c r="AY22" s="34"/>
      <c r="AZ22" s="34"/>
      <c r="BA22" s="5" t="s">
        <v>982</v>
      </c>
    </row>
    <row r="23" spans="1:53" ht="64.5" thickBot="1" x14ac:dyDescent="0.3">
      <c r="A23" s="24" t="s">
        <v>306</v>
      </c>
      <c r="B23" s="24" t="s">
        <v>306</v>
      </c>
      <c r="C23" s="24" t="s">
        <v>305</v>
      </c>
      <c r="D23" s="24" t="s">
        <v>306</v>
      </c>
      <c r="E23" s="24" t="s">
        <v>306</v>
      </c>
      <c r="F23" s="24" t="s">
        <v>306</v>
      </c>
      <c r="G23" s="24" t="s">
        <v>306</v>
      </c>
      <c r="H23" s="24" t="s">
        <v>306</v>
      </c>
      <c r="I23" s="24" t="s">
        <v>306</v>
      </c>
      <c r="J23" s="5" t="s">
        <v>330</v>
      </c>
      <c r="K23" s="5" t="s">
        <v>332</v>
      </c>
      <c r="L23" s="5"/>
      <c r="M23" s="5" t="s">
        <v>81</v>
      </c>
      <c r="N23" s="5" t="s">
        <v>310</v>
      </c>
      <c r="O23" s="285">
        <v>9.5679999999999996</v>
      </c>
      <c r="P23" s="286">
        <f>0.16751/O23</f>
        <v>1.7507316053511704E-2</v>
      </c>
      <c r="Q23" s="91"/>
      <c r="R23" s="91"/>
      <c r="S23" s="91"/>
      <c r="T23" s="287">
        <f>0.48103/O23</f>
        <v>5.0274874581939806E-2</v>
      </c>
      <c r="U23" s="300">
        <f>2.39/O23</f>
        <v>0.24979096989966557</v>
      </c>
      <c r="V23" s="99">
        <f t="shared" si="0"/>
        <v>0.31757316053511708</v>
      </c>
      <c r="W23" s="34"/>
      <c r="X23" s="34"/>
      <c r="Y23" s="34" t="s">
        <v>305</v>
      </c>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5" t="s">
        <v>982</v>
      </c>
    </row>
    <row r="24" spans="1:53" ht="102.75" thickBot="1" x14ac:dyDescent="0.3">
      <c r="A24" s="24" t="s">
        <v>306</v>
      </c>
      <c r="B24" s="24" t="s">
        <v>306</v>
      </c>
      <c r="C24" s="24" t="s">
        <v>305</v>
      </c>
      <c r="D24" s="24" t="s">
        <v>306</v>
      </c>
      <c r="E24" s="24" t="s">
        <v>306</v>
      </c>
      <c r="F24" s="24" t="s">
        <v>306</v>
      </c>
      <c r="G24" s="24" t="s">
        <v>306</v>
      </c>
      <c r="H24" s="24" t="s">
        <v>306</v>
      </c>
      <c r="I24" s="24" t="s">
        <v>306</v>
      </c>
      <c r="J24" s="5" t="s">
        <v>333</v>
      </c>
      <c r="K24" s="194" t="s">
        <v>334</v>
      </c>
      <c r="L24" s="5"/>
      <c r="M24" s="5" t="s">
        <v>81</v>
      </c>
      <c r="N24" s="5" t="s">
        <v>310</v>
      </c>
      <c r="O24" s="288">
        <f>0.01402/P24</f>
        <v>9.2056023996787832</v>
      </c>
      <c r="P24" s="286">
        <f>0.42339/278</f>
        <v>1.5229856115107914E-3</v>
      </c>
      <c r="Q24" s="91"/>
      <c r="R24" s="91"/>
      <c r="S24" s="91"/>
      <c r="T24" s="300">
        <f>24.393/278</f>
        <v>8.7744604316546765E-2</v>
      </c>
      <c r="U24" s="300">
        <f>71.37/278</f>
        <v>0.25672661870503599</v>
      </c>
      <c r="V24" s="99">
        <f t="shared" si="0"/>
        <v>0.34599420863309355</v>
      </c>
      <c r="W24" s="34"/>
      <c r="X24" s="34"/>
      <c r="Y24" s="34" t="s">
        <v>305</v>
      </c>
      <c r="Z24" s="34"/>
      <c r="AA24" s="34"/>
      <c r="AB24" s="34"/>
      <c r="AC24" s="34" t="s">
        <v>305</v>
      </c>
      <c r="AD24" s="34"/>
      <c r="AE24" s="34"/>
      <c r="AF24" s="34"/>
      <c r="AG24" s="34"/>
      <c r="AH24" s="34"/>
      <c r="AI24" s="34"/>
      <c r="AJ24" s="34"/>
      <c r="AK24" s="34"/>
      <c r="AL24" s="34"/>
      <c r="AM24" s="34"/>
      <c r="AN24" s="34"/>
      <c r="AO24" s="34"/>
      <c r="AP24" s="34"/>
      <c r="AQ24" s="34"/>
      <c r="AR24" s="34"/>
      <c r="AS24" s="34"/>
      <c r="AT24" s="34"/>
      <c r="AU24" s="34" t="s">
        <v>305</v>
      </c>
      <c r="AV24" s="34"/>
      <c r="AW24" s="34"/>
      <c r="AX24" s="34"/>
      <c r="AY24" s="34"/>
      <c r="AZ24" s="34"/>
      <c r="BA24" s="5" t="s">
        <v>1057</v>
      </c>
    </row>
    <row r="25" spans="1:53" ht="15.75" thickBot="1" x14ac:dyDescent="0.3">
      <c r="A25" s="24" t="s">
        <v>306</v>
      </c>
      <c r="B25" s="24" t="s">
        <v>306</v>
      </c>
      <c r="C25" s="24" t="s">
        <v>306</v>
      </c>
      <c r="D25" s="24" t="s">
        <v>305</v>
      </c>
      <c r="E25" s="24" t="s">
        <v>306</v>
      </c>
      <c r="F25" s="24" t="s">
        <v>306</v>
      </c>
      <c r="G25" s="24" t="s">
        <v>306</v>
      </c>
      <c r="H25" s="24" t="s">
        <v>306</v>
      </c>
      <c r="I25" s="24" t="s">
        <v>306</v>
      </c>
      <c r="J25" s="5" t="s">
        <v>335</v>
      </c>
      <c r="K25" s="194" t="s">
        <v>336</v>
      </c>
      <c r="L25" s="5"/>
      <c r="M25" s="5" t="s">
        <v>337</v>
      </c>
      <c r="N25" s="5" t="s">
        <v>338</v>
      </c>
      <c r="O25" s="5">
        <v>100</v>
      </c>
      <c r="P25" s="206">
        <v>289.22000000000003</v>
      </c>
      <c r="Q25" s="91"/>
      <c r="R25" s="91"/>
      <c r="S25" s="91"/>
      <c r="T25" s="91"/>
      <c r="U25" s="91"/>
      <c r="V25" s="99">
        <f t="shared" si="0"/>
        <v>289.22000000000003</v>
      </c>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t="s">
        <v>305</v>
      </c>
      <c r="AZ25" s="34"/>
      <c r="BA25" s="5"/>
    </row>
    <row r="26" spans="1:53" ht="15.75" thickBot="1" x14ac:dyDescent="0.3">
      <c r="A26" s="24" t="s">
        <v>306</v>
      </c>
      <c r="B26" s="24" t="s">
        <v>306</v>
      </c>
      <c r="C26" s="24" t="s">
        <v>306</v>
      </c>
      <c r="D26" s="24" t="s">
        <v>305</v>
      </c>
      <c r="E26" s="24" t="s">
        <v>306</v>
      </c>
      <c r="F26" s="24" t="s">
        <v>306</v>
      </c>
      <c r="G26" s="24" t="s">
        <v>306</v>
      </c>
      <c r="H26" s="24" t="s">
        <v>306</v>
      </c>
      <c r="I26" s="24" t="s">
        <v>306</v>
      </c>
      <c r="J26" s="5" t="s">
        <v>335</v>
      </c>
      <c r="K26" s="194" t="s">
        <v>339</v>
      </c>
      <c r="L26" s="5"/>
      <c r="M26" s="5" t="s">
        <v>337</v>
      </c>
      <c r="N26" s="5" t="s">
        <v>338</v>
      </c>
      <c r="O26" s="5">
        <v>100</v>
      </c>
      <c r="P26" s="206">
        <v>1186.2</v>
      </c>
      <c r="Q26" s="91"/>
      <c r="R26" s="91"/>
      <c r="S26" s="91"/>
      <c r="T26" s="91"/>
      <c r="U26" s="91"/>
      <c r="V26" s="99">
        <f t="shared" si="0"/>
        <v>1186.2</v>
      </c>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t="s">
        <v>305</v>
      </c>
      <c r="AZ26" s="34"/>
      <c r="BA26" s="5"/>
    </row>
    <row r="27" spans="1:53" ht="15.75" thickBot="1" x14ac:dyDescent="0.3">
      <c r="A27" s="24" t="s">
        <v>306</v>
      </c>
      <c r="B27" s="24" t="s">
        <v>306</v>
      </c>
      <c r="C27" s="24" t="s">
        <v>306</v>
      </c>
      <c r="D27" s="24" t="s">
        <v>305</v>
      </c>
      <c r="E27" s="24" t="s">
        <v>306</v>
      </c>
      <c r="F27" s="24" t="s">
        <v>306</v>
      </c>
      <c r="G27" s="24" t="s">
        <v>306</v>
      </c>
      <c r="H27" s="24" t="s">
        <v>306</v>
      </c>
      <c r="I27" s="24" t="s">
        <v>306</v>
      </c>
      <c r="J27" s="5" t="s">
        <v>340</v>
      </c>
      <c r="K27" s="194" t="s">
        <v>341</v>
      </c>
      <c r="L27" s="5"/>
      <c r="M27" s="5" t="s">
        <v>342</v>
      </c>
      <c r="N27" s="5"/>
      <c r="O27" s="5"/>
      <c r="P27" s="206">
        <v>4726.0787226046687</v>
      </c>
      <c r="Q27" s="91"/>
      <c r="R27" s="91"/>
      <c r="S27" s="91"/>
      <c r="T27" s="91"/>
      <c r="U27" s="91"/>
      <c r="V27" s="99">
        <f t="shared" si="0"/>
        <v>4726.0787226046687</v>
      </c>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t="s">
        <v>305</v>
      </c>
      <c r="AZ27" s="34"/>
      <c r="BA27" s="5"/>
    </row>
    <row r="28" spans="1:53" ht="15.75" thickBot="1" x14ac:dyDescent="0.3">
      <c r="A28" s="24" t="s">
        <v>306</v>
      </c>
      <c r="B28" s="24" t="s">
        <v>306</v>
      </c>
      <c r="C28" s="24" t="s">
        <v>306</v>
      </c>
      <c r="D28" s="24" t="s">
        <v>305</v>
      </c>
      <c r="E28" s="24" t="s">
        <v>306</v>
      </c>
      <c r="F28" s="24" t="s">
        <v>306</v>
      </c>
      <c r="G28" s="24" t="s">
        <v>306</v>
      </c>
      <c r="H28" s="24" t="s">
        <v>306</v>
      </c>
      <c r="I28" s="24" t="s">
        <v>306</v>
      </c>
      <c r="J28" s="5" t="s">
        <v>340</v>
      </c>
      <c r="K28" s="194" t="s">
        <v>343</v>
      </c>
      <c r="L28" s="5"/>
      <c r="M28" s="5" t="s">
        <v>342</v>
      </c>
      <c r="N28" s="5"/>
      <c r="O28" s="5"/>
      <c r="P28" s="206">
        <v>1870.9743780629465</v>
      </c>
      <c r="Q28" s="91"/>
      <c r="R28" s="91"/>
      <c r="S28" s="91"/>
      <c r="T28" s="91"/>
      <c r="U28" s="91"/>
      <c r="V28" s="99">
        <f t="shared" si="0"/>
        <v>1870.9743780629465</v>
      </c>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t="s">
        <v>305</v>
      </c>
      <c r="AZ28" s="34"/>
      <c r="BA28" s="5"/>
    </row>
    <row r="29" spans="1:53" ht="15.75" thickBot="1" x14ac:dyDescent="0.3">
      <c r="A29" s="24" t="s">
        <v>306</v>
      </c>
      <c r="B29" s="24" t="s">
        <v>306</v>
      </c>
      <c r="C29" s="24" t="s">
        <v>306</v>
      </c>
      <c r="D29" s="24" t="s">
        <v>305</v>
      </c>
      <c r="E29" s="24" t="s">
        <v>306</v>
      </c>
      <c r="F29" s="24" t="s">
        <v>306</v>
      </c>
      <c r="G29" s="24" t="s">
        <v>306</v>
      </c>
      <c r="H29" s="24" t="s">
        <v>306</v>
      </c>
      <c r="I29" s="24" t="s">
        <v>306</v>
      </c>
      <c r="J29" s="5" t="s">
        <v>340</v>
      </c>
      <c r="K29" s="194" t="s">
        <v>344</v>
      </c>
      <c r="L29" s="5"/>
      <c r="M29" s="5" t="s">
        <v>342</v>
      </c>
      <c r="N29" s="5"/>
      <c r="O29" s="5"/>
      <c r="P29" s="206">
        <v>228.3410090861976</v>
      </c>
      <c r="Q29" s="91"/>
      <c r="R29" s="91"/>
      <c r="S29" s="91"/>
      <c r="T29" s="91"/>
      <c r="U29" s="91"/>
      <c r="V29" s="99">
        <f t="shared" si="0"/>
        <v>228.3410090861976</v>
      </c>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t="s">
        <v>305</v>
      </c>
      <c r="AZ29" s="34"/>
      <c r="BA29" s="5"/>
    </row>
    <row r="30" spans="1:53" ht="15.75" thickBot="1" x14ac:dyDescent="0.3">
      <c r="A30" s="24" t="s">
        <v>306</v>
      </c>
      <c r="B30" s="24" t="s">
        <v>306</v>
      </c>
      <c r="C30" s="24" t="s">
        <v>306</v>
      </c>
      <c r="D30" s="24" t="s">
        <v>305</v>
      </c>
      <c r="E30" s="24" t="s">
        <v>306</v>
      </c>
      <c r="F30" s="24" t="s">
        <v>306</v>
      </c>
      <c r="G30" s="24" t="s">
        <v>306</v>
      </c>
      <c r="H30" s="24" t="s">
        <v>306</v>
      </c>
      <c r="I30" s="24" t="s">
        <v>306</v>
      </c>
      <c r="J30" s="5" t="s">
        <v>340</v>
      </c>
      <c r="K30" s="194" t="s">
        <v>345</v>
      </c>
      <c r="L30" s="5"/>
      <c r="M30" s="5" t="s">
        <v>342</v>
      </c>
      <c r="N30" s="5"/>
      <c r="O30" s="5"/>
      <c r="P30" s="206">
        <v>4.5933035846345422</v>
      </c>
      <c r="Q30" s="91"/>
      <c r="R30" s="91"/>
      <c r="S30" s="91"/>
      <c r="T30" s="91"/>
      <c r="U30" s="91"/>
      <c r="V30" s="99">
        <f t="shared" si="0"/>
        <v>4.5933035846345422</v>
      </c>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t="s">
        <v>305</v>
      </c>
      <c r="AZ30" s="34"/>
      <c r="BA30" s="5"/>
    </row>
    <row r="31" spans="1:53" ht="15.75" thickBot="1" x14ac:dyDescent="0.3">
      <c r="A31" s="24" t="s">
        <v>306</v>
      </c>
      <c r="B31" s="24" t="s">
        <v>306</v>
      </c>
      <c r="C31" s="24" t="s">
        <v>306</v>
      </c>
      <c r="D31" s="24" t="s">
        <v>305</v>
      </c>
      <c r="E31" s="24" t="s">
        <v>306</v>
      </c>
      <c r="F31" s="24" t="s">
        <v>306</v>
      </c>
      <c r="G31" s="24" t="s">
        <v>306</v>
      </c>
      <c r="H31" s="24" t="s">
        <v>306</v>
      </c>
      <c r="I31" s="24" t="s">
        <v>306</v>
      </c>
      <c r="J31" s="5" t="s">
        <v>340</v>
      </c>
      <c r="K31" s="194" t="s">
        <v>346</v>
      </c>
      <c r="L31" s="5"/>
      <c r="M31" s="5" t="s">
        <v>342</v>
      </c>
      <c r="N31" s="5"/>
      <c r="O31" s="5"/>
      <c r="P31" s="206">
        <v>785.85391496092552</v>
      </c>
      <c r="Q31" s="91"/>
      <c r="R31" s="91"/>
      <c r="S31" s="91"/>
      <c r="T31" s="91"/>
      <c r="U31" s="91"/>
      <c r="V31" s="99">
        <f t="shared" si="0"/>
        <v>785.85391496092552</v>
      </c>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t="s">
        <v>305</v>
      </c>
      <c r="AZ31" s="34"/>
      <c r="BA31" s="5"/>
    </row>
    <row r="32" spans="1:53" ht="15.75" thickBot="1" x14ac:dyDescent="0.3">
      <c r="A32" s="24" t="s">
        <v>306</v>
      </c>
      <c r="B32" s="24" t="s">
        <v>306</v>
      </c>
      <c r="C32" s="24" t="s">
        <v>306</v>
      </c>
      <c r="D32" s="24" t="s">
        <v>305</v>
      </c>
      <c r="E32" s="24" t="s">
        <v>306</v>
      </c>
      <c r="F32" s="24" t="s">
        <v>306</v>
      </c>
      <c r="G32" s="24" t="s">
        <v>306</v>
      </c>
      <c r="H32" s="24" t="s">
        <v>306</v>
      </c>
      <c r="I32" s="24" t="s">
        <v>306</v>
      </c>
      <c r="J32" s="5" t="s">
        <v>340</v>
      </c>
      <c r="K32" s="194" t="s">
        <v>347</v>
      </c>
      <c r="L32" s="5"/>
      <c r="M32" s="5" t="s">
        <v>342</v>
      </c>
      <c r="N32" s="5"/>
      <c r="O32" s="5"/>
      <c r="P32" s="206">
        <v>139.1166578013202</v>
      </c>
      <c r="Q32" s="91"/>
      <c r="R32" s="91"/>
      <c r="S32" s="91"/>
      <c r="T32" s="91"/>
      <c r="U32" s="91"/>
      <c r="V32" s="99">
        <f t="shared" si="0"/>
        <v>139.1166578013202</v>
      </c>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t="s">
        <v>305</v>
      </c>
      <c r="AZ32" s="34"/>
      <c r="BA32" s="5"/>
    </row>
    <row r="33" spans="1:53" ht="15.75" thickBot="1" x14ac:dyDescent="0.3">
      <c r="A33" s="24" t="s">
        <v>306</v>
      </c>
      <c r="B33" s="24" t="s">
        <v>306</v>
      </c>
      <c r="C33" s="24" t="s">
        <v>305</v>
      </c>
      <c r="D33" s="24" t="s">
        <v>306</v>
      </c>
      <c r="E33" s="24" t="s">
        <v>306</v>
      </c>
      <c r="F33" s="24" t="s">
        <v>306</v>
      </c>
      <c r="G33" s="24" t="s">
        <v>306</v>
      </c>
      <c r="H33" s="24" t="s">
        <v>306</v>
      </c>
      <c r="I33" s="24" t="s">
        <v>306</v>
      </c>
      <c r="J33" s="5" t="s">
        <v>348</v>
      </c>
      <c r="K33" s="5" t="s">
        <v>106</v>
      </c>
      <c r="L33" s="5" t="s">
        <v>326</v>
      </c>
      <c r="M33" s="5" t="s">
        <v>350</v>
      </c>
      <c r="N33" s="5" t="s">
        <v>351</v>
      </c>
      <c r="O33" s="5">
        <v>1.609</v>
      </c>
      <c r="P33" s="286">
        <v>0.25023000000000001</v>
      </c>
      <c r="Q33" s="91"/>
      <c r="R33" s="91"/>
      <c r="S33" s="91"/>
      <c r="T33" s="286">
        <v>6.1280000000000001E-2</v>
      </c>
      <c r="U33" s="91"/>
      <c r="V33" s="99">
        <f t="shared" si="0"/>
        <v>0.31151000000000001</v>
      </c>
      <c r="W33" s="34"/>
      <c r="X33" s="34"/>
      <c r="Y33" s="34"/>
      <c r="Z33" s="34"/>
      <c r="AA33" s="34"/>
      <c r="AB33" s="34"/>
      <c r="AC33" s="34"/>
      <c r="AD33" s="34"/>
      <c r="AE33" s="34"/>
      <c r="AF33" s="34"/>
      <c r="AG33" s="34"/>
      <c r="AH33" s="34"/>
      <c r="AI33" s="34"/>
      <c r="AJ33" s="34"/>
      <c r="AK33" s="34"/>
      <c r="AL33" s="34"/>
      <c r="AM33" s="34"/>
      <c r="AN33" s="34"/>
      <c r="AO33" s="34"/>
      <c r="AP33" s="34"/>
      <c r="AQ33" s="34"/>
      <c r="AR33" s="34" t="s">
        <v>305</v>
      </c>
      <c r="AS33" s="34" t="s">
        <v>305</v>
      </c>
      <c r="AT33" s="34"/>
      <c r="AU33" s="34"/>
      <c r="AV33" s="34"/>
      <c r="AW33" s="34"/>
      <c r="AX33" s="34"/>
      <c r="AY33" s="34"/>
      <c r="AZ33" s="34"/>
      <c r="BA33" s="5" t="s">
        <v>349</v>
      </c>
    </row>
    <row r="34" spans="1:53" ht="15.75" thickBot="1" x14ac:dyDescent="0.3">
      <c r="A34" s="24" t="s">
        <v>306</v>
      </c>
      <c r="B34" s="24" t="s">
        <v>306</v>
      </c>
      <c r="C34" s="24" t="s">
        <v>305</v>
      </c>
      <c r="D34" s="24" t="s">
        <v>306</v>
      </c>
      <c r="E34" s="24" t="s">
        <v>306</v>
      </c>
      <c r="F34" s="24" t="s">
        <v>306</v>
      </c>
      <c r="G34" s="24" t="s">
        <v>306</v>
      </c>
      <c r="H34" s="24" t="s">
        <v>306</v>
      </c>
      <c r="I34" s="24" t="s">
        <v>306</v>
      </c>
      <c r="J34" s="5" t="s">
        <v>348</v>
      </c>
      <c r="K34" s="5" t="s">
        <v>106</v>
      </c>
      <c r="L34" s="5" t="s">
        <v>107</v>
      </c>
      <c r="M34" s="5" t="s">
        <v>350</v>
      </c>
      <c r="N34" s="5" t="s">
        <v>351</v>
      </c>
      <c r="O34" s="5">
        <v>1.609</v>
      </c>
      <c r="P34" s="286">
        <v>0.22095000000000001</v>
      </c>
      <c r="Q34" s="91"/>
      <c r="R34" s="91"/>
      <c r="S34" s="91"/>
      <c r="T34" s="286">
        <v>6.1830000000000003E-2</v>
      </c>
      <c r="U34" s="91"/>
      <c r="V34" s="99">
        <f t="shared" si="0"/>
        <v>0.28278000000000003</v>
      </c>
      <c r="W34" s="34"/>
      <c r="X34" s="34"/>
      <c r="Y34" s="34"/>
      <c r="Z34" s="34"/>
      <c r="AA34" s="34"/>
      <c r="AB34" s="34"/>
      <c r="AC34" s="34"/>
      <c r="AD34" s="34"/>
      <c r="AE34" s="34"/>
      <c r="AF34" s="34"/>
      <c r="AG34" s="34"/>
      <c r="AH34" s="34"/>
      <c r="AI34" s="34"/>
      <c r="AJ34" s="34"/>
      <c r="AK34" s="34"/>
      <c r="AL34" s="34"/>
      <c r="AM34" s="34"/>
      <c r="AN34" s="34"/>
      <c r="AO34" s="34"/>
      <c r="AP34" s="34"/>
      <c r="AQ34" s="34"/>
      <c r="AR34" s="34" t="s">
        <v>305</v>
      </c>
      <c r="AS34" s="34" t="s">
        <v>305</v>
      </c>
      <c r="AT34" s="34"/>
      <c r="AU34" s="34"/>
      <c r="AV34" s="34"/>
      <c r="AW34" s="34"/>
      <c r="AX34" s="34"/>
      <c r="AY34" s="34"/>
      <c r="AZ34" s="34"/>
      <c r="BA34" s="5" t="s">
        <v>349</v>
      </c>
    </row>
    <row r="35" spans="1:53" ht="15.75" thickBot="1" x14ac:dyDescent="0.3">
      <c r="A35" s="24" t="s">
        <v>306</v>
      </c>
      <c r="B35" s="24" t="s">
        <v>306</v>
      </c>
      <c r="C35" s="24" t="s">
        <v>305</v>
      </c>
      <c r="D35" s="24" t="s">
        <v>306</v>
      </c>
      <c r="E35" s="24" t="s">
        <v>306</v>
      </c>
      <c r="F35" s="24" t="s">
        <v>306</v>
      </c>
      <c r="G35" s="24" t="s">
        <v>306</v>
      </c>
      <c r="H35" s="24" t="s">
        <v>306</v>
      </c>
      <c r="I35" s="24" t="s">
        <v>306</v>
      </c>
      <c r="J35" s="5" t="s">
        <v>348</v>
      </c>
      <c r="K35" s="5" t="s">
        <v>106</v>
      </c>
      <c r="L35" s="5" t="s">
        <v>84</v>
      </c>
      <c r="M35" s="5" t="s">
        <v>350</v>
      </c>
      <c r="N35" s="5" t="s">
        <v>351</v>
      </c>
      <c r="O35" s="5">
        <v>1.609</v>
      </c>
      <c r="P35" s="286">
        <v>0.27617000000000003</v>
      </c>
      <c r="Q35" s="91"/>
      <c r="R35" s="91"/>
      <c r="S35" s="91"/>
      <c r="T35" s="287">
        <v>3.279E-2</v>
      </c>
      <c r="U35" s="91"/>
      <c r="V35" s="99">
        <f t="shared" ref="V35:V66" si="1">SUM(P35:U35)</f>
        <v>0.30896000000000001</v>
      </c>
      <c r="W35" s="34"/>
      <c r="X35" s="34"/>
      <c r="Y35" s="34"/>
      <c r="Z35" s="34"/>
      <c r="AA35" s="34"/>
      <c r="AB35" s="34"/>
      <c r="AC35" s="34"/>
      <c r="AD35" s="34"/>
      <c r="AE35" s="34"/>
      <c r="AF35" s="34"/>
      <c r="AG35" s="34"/>
      <c r="AH35" s="34"/>
      <c r="AI35" s="34"/>
      <c r="AJ35" s="34"/>
      <c r="AK35" s="34"/>
      <c r="AL35" s="34"/>
      <c r="AM35" s="34"/>
      <c r="AN35" s="34"/>
      <c r="AO35" s="34"/>
      <c r="AP35" s="34"/>
      <c r="AQ35" s="34"/>
      <c r="AR35" s="34" t="s">
        <v>305</v>
      </c>
      <c r="AS35" s="34" t="s">
        <v>305</v>
      </c>
      <c r="AT35" s="34"/>
      <c r="AU35" s="34"/>
      <c r="AV35" s="34"/>
      <c r="AW35" s="34"/>
      <c r="AX35" s="34"/>
      <c r="AY35" s="34"/>
      <c r="AZ35" s="34"/>
      <c r="BA35" s="5" t="s">
        <v>349</v>
      </c>
    </row>
    <row r="36" spans="1:53" ht="26.25" thickBot="1" x14ac:dyDescent="0.3">
      <c r="A36" s="24" t="s">
        <v>306</v>
      </c>
      <c r="B36" s="24" t="s">
        <v>306</v>
      </c>
      <c r="C36" s="24" t="s">
        <v>305</v>
      </c>
      <c r="D36" s="24" t="s">
        <v>306</v>
      </c>
      <c r="E36" s="24" t="s">
        <v>306</v>
      </c>
      <c r="F36" s="24" t="s">
        <v>306</v>
      </c>
      <c r="G36" s="24" t="s">
        <v>306</v>
      </c>
      <c r="H36" s="24" t="s">
        <v>306</v>
      </c>
      <c r="I36" s="24" t="s">
        <v>306</v>
      </c>
      <c r="J36" s="5" t="s">
        <v>348</v>
      </c>
      <c r="K36" s="5" t="s">
        <v>106</v>
      </c>
      <c r="L36" s="5" t="s">
        <v>352</v>
      </c>
      <c r="M36" s="5" t="s">
        <v>350</v>
      </c>
      <c r="N36" s="5" t="s">
        <v>351</v>
      </c>
      <c r="O36" s="5">
        <v>1.609</v>
      </c>
      <c r="P36" s="91"/>
      <c r="Q36" s="286">
        <v>7.2789999999999994E-2</v>
      </c>
      <c r="R36" s="91"/>
      <c r="S36" s="286">
        <v>6.4400000000000004E-3</v>
      </c>
      <c r="T36" s="286">
        <v>1.7590000000000001E-2</v>
      </c>
      <c r="U36" s="91"/>
      <c r="V36" s="99">
        <f t="shared" si="1"/>
        <v>9.6819999999999989E-2</v>
      </c>
      <c r="W36" s="34"/>
      <c r="X36" s="34"/>
      <c r="Y36" s="34"/>
      <c r="Z36" s="34"/>
      <c r="AA36" s="34"/>
      <c r="AB36" s="34"/>
      <c r="AC36" s="34"/>
      <c r="AD36" s="34"/>
      <c r="AE36" s="34"/>
      <c r="AF36" s="34"/>
      <c r="AG36" s="34"/>
      <c r="AH36" s="34"/>
      <c r="AI36" s="34"/>
      <c r="AJ36" s="34"/>
      <c r="AK36" s="34"/>
      <c r="AL36" s="34"/>
      <c r="AM36" s="34"/>
      <c r="AN36" s="34"/>
      <c r="AO36" s="34"/>
      <c r="AP36" s="34" t="s">
        <v>305</v>
      </c>
      <c r="AQ36" s="34" t="s">
        <v>305</v>
      </c>
      <c r="AR36" s="34"/>
      <c r="AS36" s="34" t="s">
        <v>305</v>
      </c>
      <c r="AT36" s="34"/>
      <c r="AU36" s="34"/>
      <c r="AV36" s="34"/>
      <c r="AW36" s="34"/>
      <c r="AX36" s="34"/>
      <c r="AY36" s="34"/>
      <c r="AZ36" s="34"/>
      <c r="BA36" s="5" t="s">
        <v>349</v>
      </c>
    </row>
    <row r="37" spans="1:53" ht="15.75" thickBot="1" x14ac:dyDescent="0.3">
      <c r="A37" s="24" t="s">
        <v>306</v>
      </c>
      <c r="B37" s="24" t="s">
        <v>306</v>
      </c>
      <c r="C37" s="24" t="s">
        <v>305</v>
      </c>
      <c r="D37" s="24" t="s">
        <v>306</v>
      </c>
      <c r="E37" s="24" t="s">
        <v>306</v>
      </c>
      <c r="F37" s="24" t="s">
        <v>306</v>
      </c>
      <c r="G37" s="24" t="s">
        <v>306</v>
      </c>
      <c r="H37" s="24" t="s">
        <v>306</v>
      </c>
      <c r="I37" s="24" t="s">
        <v>306</v>
      </c>
      <c r="J37" s="5" t="s">
        <v>348</v>
      </c>
      <c r="K37" s="5" t="s">
        <v>106</v>
      </c>
      <c r="L37" s="5" t="s">
        <v>353</v>
      </c>
      <c r="M37" s="5" t="s">
        <v>350</v>
      </c>
      <c r="N37" s="5" t="s">
        <v>351</v>
      </c>
      <c r="O37" s="5">
        <v>1.609</v>
      </c>
      <c r="P37" s="286">
        <v>0.24934000000000001</v>
      </c>
      <c r="Q37" s="91"/>
      <c r="R37" s="91"/>
      <c r="S37" s="91"/>
      <c r="T37" s="286">
        <v>6.13E-2</v>
      </c>
      <c r="U37" s="91"/>
      <c r="V37" s="99">
        <f t="shared" si="1"/>
        <v>0.31064000000000003</v>
      </c>
      <c r="W37" s="34"/>
      <c r="X37" s="34"/>
      <c r="Y37" s="34"/>
      <c r="Z37" s="34"/>
      <c r="AA37" s="34"/>
      <c r="AB37" s="34"/>
      <c r="AC37" s="34"/>
      <c r="AD37" s="34"/>
      <c r="AE37" s="34"/>
      <c r="AF37" s="34"/>
      <c r="AG37" s="34"/>
      <c r="AH37" s="34"/>
      <c r="AI37" s="34"/>
      <c r="AJ37" s="34"/>
      <c r="AK37" s="34"/>
      <c r="AL37" s="34"/>
      <c r="AM37" s="34"/>
      <c r="AN37" s="34"/>
      <c r="AO37" s="34"/>
      <c r="AP37" s="34"/>
      <c r="AQ37" s="34"/>
      <c r="AR37" s="34" t="s">
        <v>305</v>
      </c>
      <c r="AS37" s="34" t="s">
        <v>305</v>
      </c>
      <c r="AT37" s="34"/>
      <c r="AU37" s="34"/>
      <c r="AV37" s="34"/>
      <c r="AW37" s="34"/>
      <c r="AX37" s="34"/>
      <c r="AY37" s="34"/>
      <c r="AZ37" s="34"/>
      <c r="BA37" s="5" t="s">
        <v>349</v>
      </c>
    </row>
    <row r="38" spans="1:53" ht="15.75" thickBot="1" x14ac:dyDescent="0.3">
      <c r="A38" s="24" t="s">
        <v>306</v>
      </c>
      <c r="B38" s="24" t="s">
        <v>306</v>
      </c>
      <c r="C38" s="24" t="s">
        <v>305</v>
      </c>
      <c r="D38" s="24" t="s">
        <v>306</v>
      </c>
      <c r="E38" s="24" t="s">
        <v>306</v>
      </c>
      <c r="F38" s="24" t="s">
        <v>306</v>
      </c>
      <c r="G38" s="24" t="s">
        <v>306</v>
      </c>
      <c r="H38" s="24" t="s">
        <v>306</v>
      </c>
      <c r="I38" s="24" t="s">
        <v>306</v>
      </c>
      <c r="J38" s="5" t="s">
        <v>354</v>
      </c>
      <c r="K38" s="5" t="s">
        <v>355</v>
      </c>
      <c r="L38" s="5" t="s">
        <v>326</v>
      </c>
      <c r="M38" s="5" t="s">
        <v>350</v>
      </c>
      <c r="N38" s="5" t="s">
        <v>351</v>
      </c>
      <c r="O38" s="5">
        <v>1.609</v>
      </c>
      <c r="P38" s="286">
        <v>0.82657000000000003</v>
      </c>
      <c r="Q38" s="91"/>
      <c r="R38" s="91"/>
      <c r="S38" s="91"/>
      <c r="T38" s="287">
        <v>0.20099</v>
      </c>
      <c r="U38" s="91"/>
      <c r="V38" s="99">
        <f t="shared" si="1"/>
        <v>1.02756</v>
      </c>
      <c r="W38" s="34"/>
      <c r="X38" s="34"/>
      <c r="Y38" s="34"/>
      <c r="Z38" s="34"/>
      <c r="AA38" s="34"/>
      <c r="AB38" s="34"/>
      <c r="AC38" s="34"/>
      <c r="AD38" s="34"/>
      <c r="AE38" s="34"/>
      <c r="AF38" s="34"/>
      <c r="AG38" s="34"/>
      <c r="AH38" s="34"/>
      <c r="AI38" s="34"/>
      <c r="AJ38" s="34"/>
      <c r="AK38" s="34"/>
      <c r="AL38" s="34"/>
      <c r="AM38" s="34"/>
      <c r="AN38" s="34"/>
      <c r="AO38" s="34"/>
      <c r="AP38" s="34"/>
      <c r="AQ38" s="34"/>
      <c r="AR38" s="34" t="s">
        <v>305</v>
      </c>
      <c r="AS38" s="34" t="s">
        <v>305</v>
      </c>
      <c r="AT38" s="34"/>
      <c r="AU38" s="34"/>
      <c r="AV38" s="34"/>
      <c r="AW38" s="34"/>
      <c r="AX38" s="34"/>
      <c r="AY38" s="34"/>
      <c r="AZ38" s="34"/>
      <c r="BA38" s="5" t="s">
        <v>356</v>
      </c>
    </row>
    <row r="39" spans="1:53" ht="15.75" thickBot="1" x14ac:dyDescent="0.3">
      <c r="A39" s="24" t="s">
        <v>306</v>
      </c>
      <c r="B39" s="24" t="s">
        <v>306</v>
      </c>
      <c r="C39" s="24" t="s">
        <v>305</v>
      </c>
      <c r="D39" s="24" t="s">
        <v>306</v>
      </c>
      <c r="E39" s="24" t="s">
        <v>306</v>
      </c>
      <c r="F39" s="24" t="s">
        <v>306</v>
      </c>
      <c r="G39" s="24" t="s">
        <v>306</v>
      </c>
      <c r="H39" s="24" t="s">
        <v>306</v>
      </c>
      <c r="I39" s="24" t="s">
        <v>306</v>
      </c>
      <c r="J39" s="5" t="s">
        <v>354</v>
      </c>
      <c r="K39" s="5" t="s">
        <v>357</v>
      </c>
      <c r="L39" s="5" t="s">
        <v>326</v>
      </c>
      <c r="M39" s="5" t="s">
        <v>350</v>
      </c>
      <c r="N39" s="5" t="s">
        <v>351</v>
      </c>
      <c r="O39" s="5">
        <v>1.609</v>
      </c>
      <c r="P39" s="286">
        <v>0.90581</v>
      </c>
      <c r="Q39" s="91"/>
      <c r="R39" s="91"/>
      <c r="S39" s="91"/>
      <c r="T39" s="287">
        <v>0.21898000000000001</v>
      </c>
      <c r="U39" s="91"/>
      <c r="V39" s="99">
        <f t="shared" si="1"/>
        <v>1.12479</v>
      </c>
      <c r="W39" s="34"/>
      <c r="X39" s="34"/>
      <c r="Y39" s="34"/>
      <c r="Z39" s="34"/>
      <c r="AA39" s="34"/>
      <c r="AB39" s="34"/>
      <c r="AC39" s="34"/>
      <c r="AD39" s="34"/>
      <c r="AE39" s="34"/>
      <c r="AF39" s="34"/>
      <c r="AG39" s="34"/>
      <c r="AH39" s="34"/>
      <c r="AI39" s="34"/>
      <c r="AJ39" s="34"/>
      <c r="AK39" s="34"/>
      <c r="AL39" s="34"/>
      <c r="AM39" s="34"/>
      <c r="AN39" s="34"/>
      <c r="AO39" s="34"/>
      <c r="AP39" s="34"/>
      <c r="AQ39" s="34"/>
      <c r="AR39" s="34" t="s">
        <v>305</v>
      </c>
      <c r="AS39" s="34" t="s">
        <v>305</v>
      </c>
      <c r="AT39" s="34"/>
      <c r="AU39" s="34"/>
      <c r="AV39" s="34"/>
      <c r="AW39" s="34"/>
      <c r="AX39" s="34"/>
      <c r="AY39" s="34"/>
      <c r="AZ39" s="34"/>
      <c r="BA39" s="5" t="s">
        <v>356</v>
      </c>
    </row>
    <row r="40" spans="1:53" ht="15.75" thickBot="1" x14ac:dyDescent="0.3">
      <c r="A40" s="24" t="s">
        <v>306</v>
      </c>
      <c r="B40" s="24" t="s">
        <v>306</v>
      </c>
      <c r="C40" s="24" t="s">
        <v>305</v>
      </c>
      <c r="D40" s="24" t="s">
        <v>306</v>
      </c>
      <c r="E40" s="24" t="s">
        <v>306</v>
      </c>
      <c r="F40" s="24" t="s">
        <v>306</v>
      </c>
      <c r="G40" s="24" t="s">
        <v>306</v>
      </c>
      <c r="H40" s="24" t="s">
        <v>306</v>
      </c>
      <c r="I40" s="24" t="s">
        <v>306</v>
      </c>
      <c r="J40" s="5" t="s">
        <v>354</v>
      </c>
      <c r="K40" s="5" t="s">
        <v>358</v>
      </c>
      <c r="L40" s="5" t="s">
        <v>326</v>
      </c>
      <c r="M40" s="5" t="s">
        <v>350</v>
      </c>
      <c r="N40" s="5" t="s">
        <v>351</v>
      </c>
      <c r="O40" s="5">
        <v>1.609</v>
      </c>
      <c r="P40" s="286">
        <v>0.87295999999999996</v>
      </c>
      <c r="Q40" s="91"/>
      <c r="R40" s="91"/>
      <c r="S40" s="91"/>
      <c r="T40" s="287">
        <v>0.21154000000000001</v>
      </c>
      <c r="U40" s="91"/>
      <c r="V40" s="99">
        <f t="shared" si="1"/>
        <v>1.0845</v>
      </c>
      <c r="W40" s="34"/>
      <c r="X40" s="34"/>
      <c r="Y40" s="34"/>
      <c r="Z40" s="34"/>
      <c r="AA40" s="34"/>
      <c r="AB40" s="34"/>
      <c r="AC40" s="34"/>
      <c r="AD40" s="34"/>
      <c r="AE40" s="34"/>
      <c r="AF40" s="34"/>
      <c r="AG40" s="34"/>
      <c r="AH40" s="34"/>
      <c r="AI40" s="34"/>
      <c r="AJ40" s="34"/>
      <c r="AK40" s="34"/>
      <c r="AL40" s="34"/>
      <c r="AM40" s="34"/>
      <c r="AN40" s="34"/>
      <c r="AO40" s="34"/>
      <c r="AP40" s="34"/>
      <c r="AQ40" s="34"/>
      <c r="AR40" s="34" t="s">
        <v>305</v>
      </c>
      <c r="AS40" s="34" t="s">
        <v>305</v>
      </c>
      <c r="AT40" s="34"/>
      <c r="AU40" s="34"/>
      <c r="AV40" s="34"/>
      <c r="AW40" s="34"/>
      <c r="AX40" s="34"/>
      <c r="AY40" s="34"/>
      <c r="AZ40" s="34"/>
      <c r="BA40" s="5" t="s">
        <v>356</v>
      </c>
    </row>
    <row r="41" spans="1:53" ht="15.75" thickBot="1" x14ac:dyDescent="0.3">
      <c r="A41" s="24" t="s">
        <v>306</v>
      </c>
      <c r="B41" s="24" t="s">
        <v>306</v>
      </c>
      <c r="C41" s="24" t="s">
        <v>305</v>
      </c>
      <c r="D41" s="24" t="s">
        <v>306</v>
      </c>
      <c r="E41" s="24" t="s">
        <v>306</v>
      </c>
      <c r="F41" s="24" t="s">
        <v>306</v>
      </c>
      <c r="G41" s="24" t="s">
        <v>306</v>
      </c>
      <c r="H41" s="24" t="s">
        <v>306</v>
      </c>
      <c r="I41" s="24" t="s">
        <v>306</v>
      </c>
      <c r="J41" s="5" t="s">
        <v>359</v>
      </c>
      <c r="K41" s="5" t="s">
        <v>106</v>
      </c>
      <c r="L41" s="5" t="s">
        <v>326</v>
      </c>
      <c r="M41" s="5" t="s">
        <v>350</v>
      </c>
      <c r="N41" s="5" t="s">
        <v>351</v>
      </c>
      <c r="O41" s="5">
        <v>1.609</v>
      </c>
      <c r="P41" s="286">
        <v>0.16983999999999999</v>
      </c>
      <c r="Q41" s="91"/>
      <c r="R41" s="91"/>
      <c r="S41" s="91"/>
      <c r="T41" s="287">
        <v>4.1459999999999997E-2</v>
      </c>
      <c r="U41" s="91"/>
      <c r="V41" s="99">
        <f t="shared" si="1"/>
        <v>0.21129999999999999</v>
      </c>
      <c r="W41" s="34"/>
      <c r="X41" s="34"/>
      <c r="Y41" s="34"/>
      <c r="Z41" s="34"/>
      <c r="AA41" s="34"/>
      <c r="AB41" s="34"/>
      <c r="AC41" s="34"/>
      <c r="AD41" s="34"/>
      <c r="AE41" s="34"/>
      <c r="AF41" s="34"/>
      <c r="AG41" s="34"/>
      <c r="AH41" s="34"/>
      <c r="AI41" s="34"/>
      <c r="AJ41" s="34"/>
      <c r="AK41" s="34"/>
      <c r="AL41" s="34"/>
      <c r="AM41" s="34"/>
      <c r="AN41" s="34" t="s">
        <v>305</v>
      </c>
      <c r="AO41" s="34" t="s">
        <v>305</v>
      </c>
      <c r="AP41" s="34"/>
      <c r="AQ41" s="34"/>
      <c r="AR41" s="34"/>
      <c r="AS41" s="34"/>
      <c r="AT41" s="34"/>
      <c r="AU41" s="34"/>
      <c r="AV41" s="34"/>
      <c r="AW41" s="34"/>
      <c r="AX41" s="34"/>
      <c r="AY41" s="34"/>
      <c r="AZ41" s="34"/>
      <c r="BA41" s="5"/>
    </row>
    <row r="42" spans="1:53" ht="15.75" thickBot="1" x14ac:dyDescent="0.3">
      <c r="A42" s="24" t="s">
        <v>306</v>
      </c>
      <c r="B42" s="24" t="s">
        <v>306</v>
      </c>
      <c r="C42" s="24" t="s">
        <v>305</v>
      </c>
      <c r="D42" s="24" t="s">
        <v>306</v>
      </c>
      <c r="E42" s="24" t="s">
        <v>306</v>
      </c>
      <c r="F42" s="24" t="s">
        <v>306</v>
      </c>
      <c r="G42" s="24" t="s">
        <v>306</v>
      </c>
      <c r="H42" s="24" t="s">
        <v>306</v>
      </c>
      <c r="I42" s="24" t="s">
        <v>306</v>
      </c>
      <c r="J42" s="5" t="s">
        <v>359</v>
      </c>
      <c r="K42" s="5" t="s">
        <v>106</v>
      </c>
      <c r="L42" s="5" t="s">
        <v>107</v>
      </c>
      <c r="M42" s="5" t="s">
        <v>350</v>
      </c>
      <c r="N42" s="5" t="s">
        <v>351</v>
      </c>
      <c r="O42" s="5">
        <v>1.609</v>
      </c>
      <c r="P42" s="286">
        <v>0.16450000000000001</v>
      </c>
      <c r="Q42" s="91"/>
      <c r="R42" s="91"/>
      <c r="S42" s="91"/>
      <c r="T42" s="287">
        <v>4.5990000000000003E-2</v>
      </c>
      <c r="U42" s="91"/>
      <c r="V42" s="99">
        <f t="shared" si="1"/>
        <v>0.21049000000000001</v>
      </c>
      <c r="W42" s="34"/>
      <c r="X42" s="34"/>
      <c r="Y42" s="34"/>
      <c r="Z42" s="34"/>
      <c r="AA42" s="34"/>
      <c r="AB42" s="34"/>
      <c r="AC42" s="34"/>
      <c r="AD42" s="34"/>
      <c r="AE42" s="34"/>
      <c r="AF42" s="34"/>
      <c r="AG42" s="34"/>
      <c r="AH42" s="34"/>
      <c r="AI42" s="34"/>
      <c r="AJ42" s="34"/>
      <c r="AK42" s="34"/>
      <c r="AL42" s="34"/>
      <c r="AM42" s="34"/>
      <c r="AN42" s="34" t="s">
        <v>305</v>
      </c>
      <c r="AO42" s="34" t="s">
        <v>305</v>
      </c>
      <c r="AP42" s="34"/>
      <c r="AQ42" s="34"/>
      <c r="AR42" s="34"/>
      <c r="AS42" s="34"/>
      <c r="AT42" s="34"/>
      <c r="AU42" s="34"/>
      <c r="AV42" s="34"/>
      <c r="AW42" s="34"/>
      <c r="AX42" s="34"/>
      <c r="AY42" s="34"/>
      <c r="AZ42" s="34"/>
      <c r="BA42" s="5"/>
    </row>
    <row r="43" spans="1:53" ht="15.75" thickBot="1" x14ac:dyDescent="0.3">
      <c r="A43" s="24" t="s">
        <v>306</v>
      </c>
      <c r="B43" s="24" t="s">
        <v>306</v>
      </c>
      <c r="C43" s="24" t="s">
        <v>305</v>
      </c>
      <c r="D43" s="24" t="s">
        <v>306</v>
      </c>
      <c r="E43" s="24" t="s">
        <v>306</v>
      </c>
      <c r="F43" s="24" t="s">
        <v>306</v>
      </c>
      <c r="G43" s="24" t="s">
        <v>306</v>
      </c>
      <c r="H43" s="24" t="s">
        <v>306</v>
      </c>
      <c r="I43" s="24" t="s">
        <v>306</v>
      </c>
      <c r="J43" s="5" t="s">
        <v>359</v>
      </c>
      <c r="K43" s="5" t="s">
        <v>106</v>
      </c>
      <c r="L43" s="5" t="s">
        <v>360</v>
      </c>
      <c r="M43" s="5" t="s">
        <v>350</v>
      </c>
      <c r="N43" s="5" t="s">
        <v>351</v>
      </c>
      <c r="O43" s="5">
        <v>1.609</v>
      </c>
      <c r="P43" s="286">
        <v>0.12606999999999999</v>
      </c>
      <c r="Q43" s="91"/>
      <c r="R43" s="91"/>
      <c r="S43" s="91"/>
      <c r="T43" s="287">
        <v>3.3149999999999999E-2</v>
      </c>
      <c r="U43" s="91"/>
      <c r="V43" s="99">
        <f t="shared" si="1"/>
        <v>0.15921999999999997</v>
      </c>
      <c r="W43" s="34"/>
      <c r="X43" s="34"/>
      <c r="Y43" s="34"/>
      <c r="Z43" s="34"/>
      <c r="AA43" s="34"/>
      <c r="AB43" s="34"/>
      <c r="AC43" s="34"/>
      <c r="AD43" s="34"/>
      <c r="AE43" s="34"/>
      <c r="AF43" s="34"/>
      <c r="AG43" s="34"/>
      <c r="AH43" s="34"/>
      <c r="AI43" s="34"/>
      <c r="AJ43" s="34"/>
      <c r="AK43" s="34"/>
      <c r="AL43" s="34"/>
      <c r="AM43" s="34"/>
      <c r="AN43" s="34" t="s">
        <v>305</v>
      </c>
      <c r="AO43" s="34" t="s">
        <v>305</v>
      </c>
      <c r="AP43" s="34"/>
      <c r="AQ43" s="34"/>
      <c r="AR43" s="34"/>
      <c r="AS43" s="34"/>
      <c r="AT43" s="34"/>
      <c r="AU43" s="34"/>
      <c r="AV43" s="34"/>
      <c r="AW43" s="34"/>
      <c r="AX43" s="34"/>
      <c r="AY43" s="34"/>
      <c r="AZ43" s="34"/>
      <c r="BA43" s="5"/>
    </row>
    <row r="44" spans="1:53" ht="26.25" thickBot="1" x14ac:dyDescent="0.3">
      <c r="A44" s="24" t="s">
        <v>306</v>
      </c>
      <c r="B44" s="24" t="s">
        <v>306</v>
      </c>
      <c r="C44" s="24" t="s">
        <v>305</v>
      </c>
      <c r="D44" s="24" t="s">
        <v>306</v>
      </c>
      <c r="E44" s="24" t="s">
        <v>306</v>
      </c>
      <c r="F44" s="24" t="s">
        <v>306</v>
      </c>
      <c r="G44" s="24" t="s">
        <v>306</v>
      </c>
      <c r="H44" s="24" t="s">
        <v>306</v>
      </c>
      <c r="I44" s="24" t="s">
        <v>306</v>
      </c>
      <c r="J44" s="5" t="s">
        <v>359</v>
      </c>
      <c r="K44" s="5" t="s">
        <v>106</v>
      </c>
      <c r="L44" s="5" t="s">
        <v>361</v>
      </c>
      <c r="M44" s="5" t="s">
        <v>350</v>
      </c>
      <c r="N44" s="5" t="s">
        <v>351</v>
      </c>
      <c r="O44" s="5">
        <v>1.609</v>
      </c>
      <c r="P44" s="286">
        <v>9.3600000000000003E-2</v>
      </c>
      <c r="Q44" s="286">
        <v>1.371E-2</v>
      </c>
      <c r="R44" s="91"/>
      <c r="S44" s="286">
        <v>1.2099999999999999E-3</v>
      </c>
      <c r="T44" s="286">
        <v>2.9340000000000001E-2</v>
      </c>
      <c r="U44" s="91"/>
      <c r="V44" s="99">
        <f t="shared" si="1"/>
        <v>0.13786000000000001</v>
      </c>
      <c r="W44" s="34"/>
      <c r="X44" s="34"/>
      <c r="Y44" s="34"/>
      <c r="Z44" s="34"/>
      <c r="AA44" s="34"/>
      <c r="AB44" s="34"/>
      <c r="AC44" s="34"/>
      <c r="AD44" s="34"/>
      <c r="AE44" s="34"/>
      <c r="AF44" s="34"/>
      <c r="AG44" s="34"/>
      <c r="AH44" s="34"/>
      <c r="AI44" s="34"/>
      <c r="AJ44" s="34"/>
      <c r="AK44" s="34"/>
      <c r="AL44" s="34"/>
      <c r="AM44" s="34"/>
      <c r="AN44" s="34" t="s">
        <v>305</v>
      </c>
      <c r="AO44" s="34" t="s">
        <v>305</v>
      </c>
      <c r="AP44" s="34" t="s">
        <v>305</v>
      </c>
      <c r="AQ44" s="34" t="s">
        <v>305</v>
      </c>
      <c r="AR44" s="34"/>
      <c r="AS44" s="34"/>
      <c r="AT44" s="34"/>
      <c r="AU44" s="34"/>
      <c r="AV44" s="34"/>
      <c r="AW44" s="34"/>
      <c r="AX44" s="34"/>
      <c r="AY44" s="34"/>
      <c r="AZ44" s="34"/>
      <c r="BA44" s="5"/>
    </row>
    <row r="45" spans="1:53" ht="26.25" thickBot="1" x14ac:dyDescent="0.3">
      <c r="A45" s="24" t="s">
        <v>306</v>
      </c>
      <c r="B45" s="24" t="s">
        <v>306</v>
      </c>
      <c r="C45" s="24" t="s">
        <v>305</v>
      </c>
      <c r="D45" s="24" t="s">
        <v>306</v>
      </c>
      <c r="E45" s="24" t="s">
        <v>306</v>
      </c>
      <c r="F45" s="24" t="s">
        <v>306</v>
      </c>
      <c r="G45" s="24" t="s">
        <v>306</v>
      </c>
      <c r="H45" s="24" t="s">
        <v>306</v>
      </c>
      <c r="I45" s="24" t="s">
        <v>306</v>
      </c>
      <c r="J45" s="5" t="s">
        <v>359</v>
      </c>
      <c r="K45" s="5" t="s">
        <v>106</v>
      </c>
      <c r="L45" s="5" t="s">
        <v>352</v>
      </c>
      <c r="M45" s="5" t="s">
        <v>350</v>
      </c>
      <c r="N45" s="5" t="s">
        <v>351</v>
      </c>
      <c r="O45" s="5">
        <v>1.609</v>
      </c>
      <c r="P45" s="91"/>
      <c r="Q45" s="286">
        <v>4.3580000000000001E-2</v>
      </c>
      <c r="R45" s="91"/>
      <c r="S45" s="286">
        <v>3.8600000000000001E-3</v>
      </c>
      <c r="T45" s="287">
        <v>1.0489999999999999E-2</v>
      </c>
      <c r="U45" s="91"/>
      <c r="V45" s="99">
        <f t="shared" si="1"/>
        <v>5.7930000000000002E-2</v>
      </c>
      <c r="W45" s="34"/>
      <c r="X45" s="34"/>
      <c r="Y45" s="34"/>
      <c r="Z45" s="34"/>
      <c r="AA45" s="34"/>
      <c r="AB45" s="34"/>
      <c r="AC45" s="34"/>
      <c r="AD45" s="34"/>
      <c r="AE45" s="34"/>
      <c r="AF45" s="34"/>
      <c r="AG45" s="34"/>
      <c r="AH45" s="34"/>
      <c r="AI45" s="34"/>
      <c r="AJ45" s="34"/>
      <c r="AK45" s="34"/>
      <c r="AL45" s="34"/>
      <c r="AM45" s="34"/>
      <c r="AN45" s="34"/>
      <c r="AO45" s="34" t="s">
        <v>305</v>
      </c>
      <c r="AP45" s="34" t="s">
        <v>305</v>
      </c>
      <c r="AQ45" s="34" t="s">
        <v>305</v>
      </c>
      <c r="AR45" s="34"/>
      <c r="AS45" s="34"/>
      <c r="AT45" s="34"/>
      <c r="AU45" s="34"/>
      <c r="AV45" s="34"/>
      <c r="AW45" s="34"/>
      <c r="AX45" s="34"/>
      <c r="AY45" s="34"/>
      <c r="AZ45" s="34"/>
      <c r="BA45" s="5"/>
    </row>
    <row r="46" spans="1:53" ht="15.75" thickBot="1" x14ac:dyDescent="0.3">
      <c r="A46" s="24" t="s">
        <v>306</v>
      </c>
      <c r="B46" s="24" t="s">
        <v>306</v>
      </c>
      <c r="C46" s="24" t="s">
        <v>305</v>
      </c>
      <c r="D46" s="24" t="s">
        <v>306</v>
      </c>
      <c r="E46" s="24" t="s">
        <v>306</v>
      </c>
      <c r="F46" s="24" t="s">
        <v>306</v>
      </c>
      <c r="G46" s="24" t="s">
        <v>306</v>
      </c>
      <c r="H46" s="24" t="s">
        <v>306</v>
      </c>
      <c r="I46" s="24" t="s">
        <v>306</v>
      </c>
      <c r="J46" s="5" t="s">
        <v>359</v>
      </c>
      <c r="K46" s="5" t="s">
        <v>106</v>
      </c>
      <c r="L46" s="5" t="s">
        <v>362</v>
      </c>
      <c r="M46" s="5" t="s">
        <v>350</v>
      </c>
      <c r="N46" s="5" t="s">
        <v>351</v>
      </c>
      <c r="O46" s="5">
        <v>1.609</v>
      </c>
      <c r="P46" s="286">
        <v>0.16691</v>
      </c>
      <c r="Q46" s="91"/>
      <c r="R46" s="91"/>
      <c r="S46" s="91"/>
      <c r="T46" s="287">
        <v>4.3990000000000001E-2</v>
      </c>
      <c r="U46" s="91"/>
      <c r="V46" s="99">
        <f t="shared" si="1"/>
        <v>0.2109</v>
      </c>
      <c r="W46" s="34"/>
      <c r="X46" s="34"/>
      <c r="Y46" s="34"/>
      <c r="Z46" s="34"/>
      <c r="AA46" s="34"/>
      <c r="AB46" s="34"/>
      <c r="AC46" s="34"/>
      <c r="AD46" s="34"/>
      <c r="AE46" s="34"/>
      <c r="AF46" s="34"/>
      <c r="AG46" s="34"/>
      <c r="AH46" s="34"/>
      <c r="AI46" s="34"/>
      <c r="AJ46" s="34"/>
      <c r="AK46" s="34"/>
      <c r="AL46" s="34"/>
      <c r="AM46" s="34"/>
      <c r="AN46" s="34" t="s">
        <v>305</v>
      </c>
      <c r="AO46" s="34" t="s">
        <v>305</v>
      </c>
      <c r="AP46" s="34"/>
      <c r="AQ46" s="34"/>
      <c r="AR46" s="34"/>
      <c r="AS46" s="34"/>
      <c r="AT46" s="34"/>
      <c r="AU46" s="34"/>
      <c r="AV46" s="34"/>
      <c r="AW46" s="34"/>
      <c r="AX46" s="34"/>
      <c r="AY46" s="34"/>
      <c r="AZ46" s="34"/>
      <c r="BA46" s="5"/>
    </row>
    <row r="47" spans="1:53" ht="15.75" thickBot="1" x14ac:dyDescent="0.3">
      <c r="A47" s="24" t="s">
        <v>306</v>
      </c>
      <c r="B47" s="24" t="s">
        <v>306</v>
      </c>
      <c r="C47" s="24" t="s">
        <v>306</v>
      </c>
      <c r="D47" s="24" t="s">
        <v>306</v>
      </c>
      <c r="E47" s="24" t="s">
        <v>306</v>
      </c>
      <c r="F47" s="24" t="s">
        <v>305</v>
      </c>
      <c r="G47" s="24" t="s">
        <v>305</v>
      </c>
      <c r="H47" s="24" t="s">
        <v>306</v>
      </c>
      <c r="I47" s="24" t="s">
        <v>306</v>
      </c>
      <c r="J47" s="5" t="s">
        <v>363</v>
      </c>
      <c r="K47" s="5" t="s">
        <v>364</v>
      </c>
      <c r="L47" s="5" t="s">
        <v>326</v>
      </c>
      <c r="M47" s="5" t="s">
        <v>350</v>
      </c>
      <c r="N47" s="5" t="s">
        <v>351</v>
      </c>
      <c r="O47" s="5">
        <v>1.609</v>
      </c>
      <c r="P47" s="91"/>
      <c r="Q47" s="91"/>
      <c r="R47" s="286">
        <v>0.13994000000000001</v>
      </c>
      <c r="S47" s="91"/>
      <c r="T47" s="286">
        <v>3.4090000000000002E-2</v>
      </c>
      <c r="U47" s="91"/>
      <c r="V47" s="99">
        <f t="shared" si="1"/>
        <v>0.17403000000000002</v>
      </c>
      <c r="W47" s="34"/>
      <c r="X47" s="34"/>
      <c r="Y47" s="34"/>
      <c r="Z47" s="34"/>
      <c r="AA47" s="34"/>
      <c r="AB47" s="34"/>
      <c r="AC47" s="34"/>
      <c r="AD47" s="34"/>
      <c r="AE47" s="34"/>
      <c r="AF47" s="34"/>
      <c r="AG47" s="34"/>
      <c r="AH47" s="34"/>
      <c r="AI47" s="34"/>
      <c r="AJ47" s="34"/>
      <c r="AK47" s="34"/>
      <c r="AL47" s="34"/>
      <c r="AM47" s="34"/>
      <c r="AN47" s="34" t="s">
        <v>305</v>
      </c>
      <c r="AO47" s="34" t="s">
        <v>305</v>
      </c>
      <c r="AP47" s="34"/>
      <c r="AQ47" s="34"/>
      <c r="AR47" s="34"/>
      <c r="AS47" s="34"/>
      <c r="AT47" s="34"/>
      <c r="AU47" s="34"/>
      <c r="AV47" s="34"/>
      <c r="AW47" s="34"/>
      <c r="AX47" s="34"/>
      <c r="AY47" s="34"/>
      <c r="AZ47" s="34"/>
      <c r="BA47" s="5"/>
    </row>
    <row r="48" spans="1:53" ht="15.75" thickBot="1" x14ac:dyDescent="0.3">
      <c r="A48" s="24" t="s">
        <v>306</v>
      </c>
      <c r="B48" s="24" t="s">
        <v>306</v>
      </c>
      <c r="C48" s="24" t="s">
        <v>306</v>
      </c>
      <c r="D48" s="24" t="s">
        <v>306</v>
      </c>
      <c r="E48" s="24" t="s">
        <v>306</v>
      </c>
      <c r="F48" s="24" t="s">
        <v>305</v>
      </c>
      <c r="G48" s="24" t="s">
        <v>305</v>
      </c>
      <c r="H48" s="24" t="s">
        <v>306</v>
      </c>
      <c r="I48" s="24" t="s">
        <v>306</v>
      </c>
      <c r="J48" s="5" t="s">
        <v>363</v>
      </c>
      <c r="K48" s="5" t="s">
        <v>365</v>
      </c>
      <c r="L48" s="5" t="s">
        <v>326</v>
      </c>
      <c r="M48" s="5" t="s">
        <v>350</v>
      </c>
      <c r="N48" s="5" t="s">
        <v>351</v>
      </c>
      <c r="O48" s="5">
        <v>1.609</v>
      </c>
      <c r="P48" s="91"/>
      <c r="Q48" s="91"/>
      <c r="R48" s="286">
        <v>0.16807</v>
      </c>
      <c r="S48" s="91"/>
      <c r="T48" s="286">
        <v>4.1029999999999997E-2</v>
      </c>
      <c r="U48" s="91"/>
      <c r="V48" s="99">
        <f t="shared" si="1"/>
        <v>0.20910000000000001</v>
      </c>
      <c r="W48" s="34"/>
      <c r="X48" s="34"/>
      <c r="Y48" s="34"/>
      <c r="Z48" s="34"/>
      <c r="AA48" s="34"/>
      <c r="AB48" s="34"/>
      <c r="AC48" s="34"/>
      <c r="AD48" s="34"/>
      <c r="AE48" s="34"/>
      <c r="AF48" s="34"/>
      <c r="AG48" s="34"/>
      <c r="AH48" s="34"/>
      <c r="AI48" s="34"/>
      <c r="AJ48" s="34"/>
      <c r="AK48" s="34"/>
      <c r="AL48" s="34"/>
      <c r="AM48" s="34"/>
      <c r="AN48" s="34" t="s">
        <v>305</v>
      </c>
      <c r="AO48" s="34" t="s">
        <v>305</v>
      </c>
      <c r="AP48" s="34"/>
      <c r="AQ48" s="34"/>
      <c r="AR48" s="34"/>
      <c r="AS48" s="34"/>
      <c r="AT48" s="34"/>
      <c r="AU48" s="34"/>
      <c r="AV48" s="34"/>
      <c r="AW48" s="34"/>
      <c r="AX48" s="34"/>
      <c r="AY48" s="34"/>
      <c r="AZ48" s="34"/>
      <c r="BA48" s="5"/>
    </row>
    <row r="49" spans="1:53" ht="15.75" thickBot="1" x14ac:dyDescent="0.3">
      <c r="A49" s="24" t="s">
        <v>306</v>
      </c>
      <c r="B49" s="24" t="s">
        <v>306</v>
      </c>
      <c r="C49" s="24" t="s">
        <v>306</v>
      </c>
      <c r="D49" s="24" t="s">
        <v>306</v>
      </c>
      <c r="E49" s="24" t="s">
        <v>306</v>
      </c>
      <c r="F49" s="24" t="s">
        <v>305</v>
      </c>
      <c r="G49" s="24" t="s">
        <v>305</v>
      </c>
      <c r="H49" s="24" t="s">
        <v>306</v>
      </c>
      <c r="I49" s="24" t="s">
        <v>306</v>
      </c>
      <c r="J49" s="5" t="s">
        <v>363</v>
      </c>
      <c r="K49" s="5" t="s">
        <v>366</v>
      </c>
      <c r="L49" s="5" t="s">
        <v>326</v>
      </c>
      <c r="M49" s="5" t="s">
        <v>350</v>
      </c>
      <c r="N49" s="5" t="s">
        <v>351</v>
      </c>
      <c r="O49" s="5">
        <v>1.609</v>
      </c>
      <c r="P49" s="91"/>
      <c r="Q49" s="91"/>
      <c r="R49" s="286">
        <v>0.20729</v>
      </c>
      <c r="S49" s="91"/>
      <c r="T49" s="286">
        <v>5.0700000000000002E-2</v>
      </c>
      <c r="U49" s="91"/>
      <c r="V49" s="99">
        <f t="shared" si="1"/>
        <v>0.25799</v>
      </c>
      <c r="W49" s="34"/>
      <c r="X49" s="34"/>
      <c r="Y49" s="34"/>
      <c r="Z49" s="34"/>
      <c r="AA49" s="34"/>
      <c r="AB49" s="34"/>
      <c r="AC49" s="34"/>
      <c r="AD49" s="34"/>
      <c r="AE49" s="34"/>
      <c r="AF49" s="34"/>
      <c r="AG49" s="34"/>
      <c r="AH49" s="34"/>
      <c r="AI49" s="34"/>
      <c r="AJ49" s="34"/>
      <c r="AK49" s="34"/>
      <c r="AL49" s="34"/>
      <c r="AM49" s="34"/>
      <c r="AN49" s="34" t="s">
        <v>305</v>
      </c>
      <c r="AO49" s="34" t="s">
        <v>305</v>
      </c>
      <c r="AP49" s="34"/>
      <c r="AQ49" s="34"/>
      <c r="AR49" s="34"/>
      <c r="AS49" s="34"/>
      <c r="AT49" s="34"/>
      <c r="AU49" s="34"/>
      <c r="AV49" s="34"/>
      <c r="AW49" s="34"/>
      <c r="AX49" s="34"/>
      <c r="AY49" s="34"/>
      <c r="AZ49" s="34"/>
      <c r="BA49" s="5"/>
    </row>
    <row r="50" spans="1:53" ht="15.75" thickBot="1" x14ac:dyDescent="0.3">
      <c r="A50" s="24" t="s">
        <v>306</v>
      </c>
      <c r="B50" s="24" t="s">
        <v>306</v>
      </c>
      <c r="C50" s="24" t="s">
        <v>306</v>
      </c>
      <c r="D50" s="24" t="s">
        <v>306</v>
      </c>
      <c r="E50" s="24" t="s">
        <v>306</v>
      </c>
      <c r="F50" s="24" t="s">
        <v>305</v>
      </c>
      <c r="G50" s="24" t="s">
        <v>305</v>
      </c>
      <c r="H50" s="24" t="s">
        <v>306</v>
      </c>
      <c r="I50" s="24" t="s">
        <v>306</v>
      </c>
      <c r="J50" s="5" t="s">
        <v>363</v>
      </c>
      <c r="K50" s="5" t="s">
        <v>106</v>
      </c>
      <c r="L50" s="5" t="s">
        <v>326</v>
      </c>
      <c r="M50" s="5" t="s">
        <v>350</v>
      </c>
      <c r="N50" s="5" t="s">
        <v>351</v>
      </c>
      <c r="O50" s="5">
        <v>1.609</v>
      </c>
      <c r="P50" s="91"/>
      <c r="Q50" s="91"/>
      <c r="R50" s="286">
        <v>0.16983999999999999</v>
      </c>
      <c r="S50" s="91"/>
      <c r="T50" s="286">
        <v>4.1459999999999997E-2</v>
      </c>
      <c r="U50" s="91"/>
      <c r="V50" s="99">
        <f t="shared" si="1"/>
        <v>0.21129999999999999</v>
      </c>
      <c r="W50" s="34"/>
      <c r="X50" s="34"/>
      <c r="Y50" s="34"/>
      <c r="Z50" s="34"/>
      <c r="AA50" s="34"/>
      <c r="AB50" s="34"/>
      <c r="AC50" s="34"/>
      <c r="AD50" s="34"/>
      <c r="AE50" s="34"/>
      <c r="AF50" s="34"/>
      <c r="AG50" s="34"/>
      <c r="AH50" s="34"/>
      <c r="AI50" s="34"/>
      <c r="AJ50" s="34"/>
      <c r="AK50" s="34"/>
      <c r="AL50" s="34"/>
      <c r="AM50" s="34"/>
      <c r="AN50" s="34" t="s">
        <v>305</v>
      </c>
      <c r="AO50" s="34" t="s">
        <v>305</v>
      </c>
      <c r="AP50" s="34"/>
      <c r="AQ50" s="34"/>
      <c r="AR50" s="34"/>
      <c r="AS50" s="34"/>
      <c r="AT50" s="34"/>
      <c r="AU50" s="34"/>
      <c r="AV50" s="34"/>
      <c r="AW50" s="34"/>
      <c r="AX50" s="34"/>
      <c r="AY50" s="34"/>
      <c r="AZ50" s="34"/>
      <c r="BA50" s="5"/>
    </row>
    <row r="51" spans="1:53" ht="15.75" thickBot="1" x14ac:dyDescent="0.3">
      <c r="A51" s="24" t="s">
        <v>306</v>
      </c>
      <c r="B51" s="24" t="s">
        <v>306</v>
      </c>
      <c r="C51" s="24" t="s">
        <v>306</v>
      </c>
      <c r="D51" s="24" t="s">
        <v>306</v>
      </c>
      <c r="E51" s="24" t="s">
        <v>306</v>
      </c>
      <c r="F51" s="24" t="s">
        <v>305</v>
      </c>
      <c r="G51" s="24" t="s">
        <v>305</v>
      </c>
      <c r="H51" s="24" t="s">
        <v>306</v>
      </c>
      <c r="I51" s="24" t="s">
        <v>306</v>
      </c>
      <c r="J51" s="5" t="s">
        <v>363</v>
      </c>
      <c r="K51" s="5" t="s">
        <v>364</v>
      </c>
      <c r="L51" s="5" t="s">
        <v>107</v>
      </c>
      <c r="M51" s="5" t="s">
        <v>350</v>
      </c>
      <c r="N51" s="5" t="s">
        <v>351</v>
      </c>
      <c r="O51" s="5">
        <v>1.609</v>
      </c>
      <c r="P51" s="91"/>
      <c r="Q51" s="91"/>
      <c r="R51" s="286">
        <v>0.14369999999999999</v>
      </c>
      <c r="S51" s="91"/>
      <c r="T51" s="286">
        <v>4.0149999999999998E-2</v>
      </c>
      <c r="U51" s="91"/>
      <c r="V51" s="99">
        <f t="shared" si="1"/>
        <v>0.18384999999999999</v>
      </c>
      <c r="W51" s="34"/>
      <c r="X51" s="34"/>
      <c r="Y51" s="34"/>
      <c r="Z51" s="34"/>
      <c r="AA51" s="34"/>
      <c r="AB51" s="34"/>
      <c r="AC51" s="34"/>
      <c r="AD51" s="34"/>
      <c r="AE51" s="34"/>
      <c r="AF51" s="34"/>
      <c r="AG51" s="34"/>
      <c r="AH51" s="34"/>
      <c r="AI51" s="34"/>
      <c r="AJ51" s="34"/>
      <c r="AK51" s="34"/>
      <c r="AL51" s="34"/>
      <c r="AM51" s="34"/>
      <c r="AN51" s="34" t="s">
        <v>305</v>
      </c>
      <c r="AO51" s="34" t="s">
        <v>305</v>
      </c>
      <c r="AP51" s="34"/>
      <c r="AQ51" s="34"/>
      <c r="AR51" s="34"/>
      <c r="AS51" s="34"/>
      <c r="AT51" s="34"/>
      <c r="AU51" s="34"/>
      <c r="AV51" s="34"/>
      <c r="AW51" s="34"/>
      <c r="AX51" s="34"/>
      <c r="AY51" s="34"/>
      <c r="AZ51" s="34"/>
      <c r="BA51" s="5"/>
    </row>
    <row r="52" spans="1:53" ht="15.75" thickBot="1" x14ac:dyDescent="0.3">
      <c r="A52" s="24" t="s">
        <v>306</v>
      </c>
      <c r="B52" s="24" t="s">
        <v>306</v>
      </c>
      <c r="C52" s="24" t="s">
        <v>306</v>
      </c>
      <c r="D52" s="24" t="s">
        <v>306</v>
      </c>
      <c r="E52" s="24" t="s">
        <v>306</v>
      </c>
      <c r="F52" s="24" t="s">
        <v>305</v>
      </c>
      <c r="G52" s="24" t="s">
        <v>305</v>
      </c>
      <c r="H52" s="24" t="s">
        <v>306</v>
      </c>
      <c r="I52" s="24" t="s">
        <v>306</v>
      </c>
      <c r="J52" s="5" t="s">
        <v>363</v>
      </c>
      <c r="K52" s="5" t="s">
        <v>365</v>
      </c>
      <c r="L52" s="5" t="s">
        <v>107</v>
      </c>
      <c r="M52" s="5" t="s">
        <v>350</v>
      </c>
      <c r="N52" s="5" t="s">
        <v>351</v>
      </c>
      <c r="O52" s="5">
        <v>1.609</v>
      </c>
      <c r="P52" s="91"/>
      <c r="Q52" s="91"/>
      <c r="R52" s="286">
        <v>0.17726</v>
      </c>
      <c r="S52" s="91"/>
      <c r="T52" s="286">
        <v>4.9570000000000003E-2</v>
      </c>
      <c r="U52" s="91"/>
      <c r="V52" s="99">
        <f t="shared" si="1"/>
        <v>0.22683</v>
      </c>
      <c r="W52" s="34"/>
      <c r="X52" s="34"/>
      <c r="Y52" s="34"/>
      <c r="Z52" s="34"/>
      <c r="AA52" s="34"/>
      <c r="AB52" s="34"/>
      <c r="AC52" s="34"/>
      <c r="AD52" s="34"/>
      <c r="AE52" s="34"/>
      <c r="AF52" s="34"/>
      <c r="AG52" s="34"/>
      <c r="AH52" s="34"/>
      <c r="AI52" s="34"/>
      <c r="AJ52" s="34"/>
      <c r="AK52" s="34"/>
      <c r="AL52" s="34"/>
      <c r="AM52" s="34"/>
      <c r="AN52" s="34" t="s">
        <v>305</v>
      </c>
      <c r="AO52" s="34" t="s">
        <v>305</v>
      </c>
      <c r="AP52" s="34"/>
      <c r="AQ52" s="34"/>
      <c r="AR52" s="34"/>
      <c r="AS52" s="34"/>
      <c r="AT52" s="34"/>
      <c r="AU52" s="34"/>
      <c r="AV52" s="34"/>
      <c r="AW52" s="34"/>
      <c r="AX52" s="34"/>
      <c r="AY52" s="34"/>
      <c r="AZ52" s="34"/>
      <c r="BA52" s="5"/>
    </row>
    <row r="53" spans="1:53" ht="15.75" thickBot="1" x14ac:dyDescent="0.3">
      <c r="A53" s="24" t="s">
        <v>306</v>
      </c>
      <c r="B53" s="24" t="s">
        <v>306</v>
      </c>
      <c r="C53" s="24" t="s">
        <v>306</v>
      </c>
      <c r="D53" s="24" t="s">
        <v>306</v>
      </c>
      <c r="E53" s="24" t="s">
        <v>306</v>
      </c>
      <c r="F53" s="24" t="s">
        <v>305</v>
      </c>
      <c r="G53" s="24" t="s">
        <v>305</v>
      </c>
      <c r="H53" s="24" t="s">
        <v>306</v>
      </c>
      <c r="I53" s="24" t="s">
        <v>306</v>
      </c>
      <c r="J53" s="5" t="s">
        <v>363</v>
      </c>
      <c r="K53" s="5" t="s">
        <v>366</v>
      </c>
      <c r="L53" s="5" t="s">
        <v>107</v>
      </c>
      <c r="M53" s="5" t="s">
        <v>350</v>
      </c>
      <c r="N53" s="5" t="s">
        <v>351</v>
      </c>
      <c r="O53" s="5">
        <v>1.609</v>
      </c>
      <c r="P53" s="91"/>
      <c r="Q53" s="91"/>
      <c r="R53" s="286">
        <v>0.26884999999999998</v>
      </c>
      <c r="S53" s="91"/>
      <c r="T53" s="286">
        <v>7.528E-2</v>
      </c>
      <c r="U53" s="91"/>
      <c r="V53" s="99">
        <f t="shared" si="1"/>
        <v>0.34412999999999999</v>
      </c>
      <c r="W53" s="34"/>
      <c r="X53" s="34"/>
      <c r="Y53" s="34"/>
      <c r="Z53" s="34"/>
      <c r="AA53" s="34"/>
      <c r="AB53" s="34"/>
      <c r="AC53" s="34"/>
      <c r="AD53" s="34"/>
      <c r="AE53" s="34"/>
      <c r="AF53" s="34"/>
      <c r="AG53" s="34"/>
      <c r="AH53" s="34"/>
      <c r="AI53" s="34"/>
      <c r="AJ53" s="34"/>
      <c r="AK53" s="34"/>
      <c r="AL53" s="34"/>
      <c r="AM53" s="34"/>
      <c r="AN53" s="34" t="s">
        <v>305</v>
      </c>
      <c r="AO53" s="34" t="s">
        <v>305</v>
      </c>
      <c r="AP53" s="34"/>
      <c r="AQ53" s="34"/>
      <c r="AR53" s="34"/>
      <c r="AS53" s="34"/>
      <c r="AT53" s="34"/>
      <c r="AU53" s="34"/>
      <c r="AV53" s="34"/>
      <c r="AW53" s="34"/>
      <c r="AX53" s="34"/>
      <c r="AY53" s="34"/>
      <c r="AZ53" s="34"/>
      <c r="BA53" s="5"/>
    </row>
    <row r="54" spans="1:53" ht="15.75" thickBot="1" x14ac:dyDescent="0.3">
      <c r="A54" s="24" t="s">
        <v>306</v>
      </c>
      <c r="B54" s="24" t="s">
        <v>306</v>
      </c>
      <c r="C54" s="24" t="s">
        <v>306</v>
      </c>
      <c r="D54" s="24" t="s">
        <v>306</v>
      </c>
      <c r="E54" s="24" t="s">
        <v>306</v>
      </c>
      <c r="F54" s="24" t="s">
        <v>305</v>
      </c>
      <c r="G54" s="24" t="s">
        <v>305</v>
      </c>
      <c r="H54" s="24" t="s">
        <v>306</v>
      </c>
      <c r="I54" s="24" t="s">
        <v>306</v>
      </c>
      <c r="J54" s="5" t="s">
        <v>363</v>
      </c>
      <c r="K54" s="5" t="s">
        <v>106</v>
      </c>
      <c r="L54" s="5" t="s">
        <v>107</v>
      </c>
      <c r="M54" s="5" t="s">
        <v>350</v>
      </c>
      <c r="N54" s="5" t="s">
        <v>351</v>
      </c>
      <c r="O54" s="5">
        <v>1.609</v>
      </c>
      <c r="P54" s="91"/>
      <c r="Q54" s="91"/>
      <c r="R54" s="286">
        <v>0.16450000000000001</v>
      </c>
      <c r="S54" s="91"/>
      <c r="T54" s="286">
        <v>4.5990000000000003E-2</v>
      </c>
      <c r="U54" s="91"/>
      <c r="V54" s="99">
        <f t="shared" si="1"/>
        <v>0.21049000000000001</v>
      </c>
      <c r="W54" s="34"/>
      <c r="X54" s="34"/>
      <c r="Y54" s="34"/>
      <c r="Z54" s="34"/>
      <c r="AA54" s="34"/>
      <c r="AB54" s="34"/>
      <c r="AC54" s="34"/>
      <c r="AD54" s="34"/>
      <c r="AE54" s="34"/>
      <c r="AF54" s="34"/>
      <c r="AG54" s="34"/>
      <c r="AH54" s="34"/>
      <c r="AI54" s="34"/>
      <c r="AJ54" s="34"/>
      <c r="AK54" s="34"/>
      <c r="AL54" s="34"/>
      <c r="AM54" s="34"/>
      <c r="AN54" s="34" t="s">
        <v>305</v>
      </c>
      <c r="AO54" s="34" t="s">
        <v>305</v>
      </c>
      <c r="AP54" s="34"/>
      <c r="AQ54" s="34"/>
      <c r="AR54" s="34"/>
      <c r="AS54" s="34"/>
      <c r="AT54" s="34"/>
      <c r="AU54" s="34"/>
      <c r="AV54" s="34"/>
      <c r="AW54" s="34"/>
      <c r="AX54" s="34"/>
      <c r="AY54" s="34"/>
      <c r="AZ54" s="34"/>
      <c r="BA54" s="5"/>
    </row>
    <row r="55" spans="1:53" ht="15.75" thickBot="1" x14ac:dyDescent="0.3">
      <c r="A55" s="24" t="s">
        <v>306</v>
      </c>
      <c r="B55" s="24" t="s">
        <v>306</v>
      </c>
      <c r="C55" s="24" t="s">
        <v>306</v>
      </c>
      <c r="D55" s="24" t="s">
        <v>306</v>
      </c>
      <c r="E55" s="24" t="s">
        <v>306</v>
      </c>
      <c r="F55" s="24" t="s">
        <v>305</v>
      </c>
      <c r="G55" s="24" t="s">
        <v>305</v>
      </c>
      <c r="H55" s="24" t="s">
        <v>306</v>
      </c>
      <c r="I55" s="24" t="s">
        <v>306</v>
      </c>
      <c r="J55" s="5" t="s">
        <v>363</v>
      </c>
      <c r="K55" s="5" t="s">
        <v>364</v>
      </c>
      <c r="L55" s="5" t="s">
        <v>360</v>
      </c>
      <c r="M55" s="5" t="s">
        <v>350</v>
      </c>
      <c r="N55" s="5" t="s">
        <v>351</v>
      </c>
      <c r="O55" s="5">
        <v>1.609</v>
      </c>
      <c r="P55" s="91"/>
      <c r="Q55" s="91"/>
      <c r="R55" s="286">
        <v>0.11274000000000001</v>
      </c>
      <c r="S55" s="91"/>
      <c r="T55" s="286">
        <v>3.0259999999999999E-2</v>
      </c>
      <c r="U55" s="91"/>
      <c r="V55" s="99">
        <f t="shared" si="1"/>
        <v>0.14300000000000002</v>
      </c>
      <c r="W55" s="34"/>
      <c r="X55" s="34"/>
      <c r="Y55" s="34"/>
      <c r="Z55" s="34"/>
      <c r="AA55" s="34"/>
      <c r="AB55" s="34"/>
      <c r="AC55" s="34"/>
      <c r="AD55" s="34"/>
      <c r="AE55" s="34"/>
      <c r="AF55" s="34"/>
      <c r="AG55" s="34"/>
      <c r="AH55" s="34"/>
      <c r="AI55" s="34"/>
      <c r="AJ55" s="34"/>
      <c r="AK55" s="34"/>
      <c r="AL55" s="34"/>
      <c r="AM55" s="34"/>
      <c r="AN55" s="34" t="s">
        <v>305</v>
      </c>
      <c r="AO55" s="34" t="s">
        <v>305</v>
      </c>
      <c r="AP55" s="34"/>
      <c r="AQ55" s="34"/>
      <c r="AR55" s="34"/>
      <c r="AS55" s="34"/>
      <c r="AT55" s="34"/>
      <c r="AU55" s="34"/>
      <c r="AV55" s="34"/>
      <c r="AW55" s="34"/>
      <c r="AX55" s="34"/>
      <c r="AY55" s="34"/>
      <c r="AZ55" s="34"/>
      <c r="BA55" s="5"/>
    </row>
    <row r="56" spans="1:53" ht="15.75" thickBot="1" x14ac:dyDescent="0.3">
      <c r="A56" s="24" t="s">
        <v>306</v>
      </c>
      <c r="B56" s="24" t="s">
        <v>306</v>
      </c>
      <c r="C56" s="24" t="s">
        <v>306</v>
      </c>
      <c r="D56" s="24" t="s">
        <v>306</v>
      </c>
      <c r="E56" s="24" t="s">
        <v>306</v>
      </c>
      <c r="F56" s="24" t="s">
        <v>305</v>
      </c>
      <c r="G56" s="24" t="s">
        <v>305</v>
      </c>
      <c r="H56" s="24" t="s">
        <v>306</v>
      </c>
      <c r="I56" s="24" t="s">
        <v>306</v>
      </c>
      <c r="J56" s="5" t="s">
        <v>363</v>
      </c>
      <c r="K56" s="5" t="s">
        <v>365</v>
      </c>
      <c r="L56" s="5" t="s">
        <v>360</v>
      </c>
      <c r="M56" s="5" t="s">
        <v>350</v>
      </c>
      <c r="N56" s="5" t="s">
        <v>351</v>
      </c>
      <c r="O56" s="5">
        <v>1.609</v>
      </c>
      <c r="P56" s="91"/>
      <c r="Q56" s="91"/>
      <c r="R56" s="286">
        <v>0.1149</v>
      </c>
      <c r="S56" s="91"/>
      <c r="T56" s="286">
        <v>2.998E-2</v>
      </c>
      <c r="U56" s="91"/>
      <c r="V56" s="99">
        <f t="shared" si="1"/>
        <v>0.14488000000000001</v>
      </c>
      <c r="W56" s="34"/>
      <c r="X56" s="34"/>
      <c r="Y56" s="34"/>
      <c r="Z56" s="34"/>
      <c r="AA56" s="34"/>
      <c r="AB56" s="34"/>
      <c r="AC56" s="34"/>
      <c r="AD56" s="34"/>
      <c r="AE56" s="34"/>
      <c r="AF56" s="34"/>
      <c r="AG56" s="34"/>
      <c r="AH56" s="34"/>
      <c r="AI56" s="34"/>
      <c r="AJ56" s="34"/>
      <c r="AK56" s="34"/>
      <c r="AL56" s="34"/>
      <c r="AM56" s="34"/>
      <c r="AN56" s="34" t="s">
        <v>305</v>
      </c>
      <c r="AO56" s="34" t="s">
        <v>305</v>
      </c>
      <c r="AP56" s="34"/>
      <c r="AQ56" s="34"/>
      <c r="AR56" s="34"/>
      <c r="AS56" s="34"/>
      <c r="AT56" s="34"/>
      <c r="AU56" s="34"/>
      <c r="AV56" s="34"/>
      <c r="AW56" s="34"/>
      <c r="AX56" s="34"/>
      <c r="AY56" s="34"/>
      <c r="AZ56" s="34"/>
      <c r="BA56" s="5"/>
    </row>
    <row r="57" spans="1:53" ht="15.75" thickBot="1" x14ac:dyDescent="0.3">
      <c r="A57" s="24" t="s">
        <v>306</v>
      </c>
      <c r="B57" s="24" t="s">
        <v>306</v>
      </c>
      <c r="C57" s="24" t="s">
        <v>306</v>
      </c>
      <c r="D57" s="24" t="s">
        <v>306</v>
      </c>
      <c r="E57" s="24" t="s">
        <v>306</v>
      </c>
      <c r="F57" s="24" t="s">
        <v>305</v>
      </c>
      <c r="G57" s="24" t="s">
        <v>305</v>
      </c>
      <c r="H57" s="24" t="s">
        <v>306</v>
      </c>
      <c r="I57" s="24" t="s">
        <v>306</v>
      </c>
      <c r="J57" s="5" t="s">
        <v>363</v>
      </c>
      <c r="K57" s="5" t="s">
        <v>366</v>
      </c>
      <c r="L57" s="5" t="s">
        <v>360</v>
      </c>
      <c r="M57" s="5" t="s">
        <v>350</v>
      </c>
      <c r="N57" s="5" t="s">
        <v>351</v>
      </c>
      <c r="O57" s="5">
        <v>1.609</v>
      </c>
      <c r="P57" s="91"/>
      <c r="Q57" s="91"/>
      <c r="R57" s="286">
        <v>0.15486</v>
      </c>
      <c r="S57" s="91"/>
      <c r="T57" s="286">
        <v>3.9609999999999999E-2</v>
      </c>
      <c r="U57" s="91"/>
      <c r="V57" s="99">
        <f t="shared" si="1"/>
        <v>0.19447</v>
      </c>
      <c r="W57" s="34"/>
      <c r="X57" s="34"/>
      <c r="Y57" s="34"/>
      <c r="Z57" s="34"/>
      <c r="AA57" s="34"/>
      <c r="AB57" s="34"/>
      <c r="AC57" s="34"/>
      <c r="AD57" s="34"/>
      <c r="AE57" s="34"/>
      <c r="AF57" s="34"/>
      <c r="AG57" s="34"/>
      <c r="AH57" s="34"/>
      <c r="AI57" s="34"/>
      <c r="AJ57" s="34"/>
      <c r="AK57" s="34"/>
      <c r="AL57" s="34"/>
      <c r="AM57" s="34"/>
      <c r="AN57" s="34" t="s">
        <v>305</v>
      </c>
      <c r="AO57" s="34" t="s">
        <v>305</v>
      </c>
      <c r="AP57" s="34"/>
      <c r="AQ57" s="34"/>
      <c r="AR57" s="34"/>
      <c r="AS57" s="34"/>
      <c r="AT57" s="34"/>
      <c r="AU57" s="34"/>
      <c r="AV57" s="34"/>
      <c r="AW57" s="34"/>
      <c r="AX57" s="34"/>
      <c r="AY57" s="34"/>
      <c r="AZ57" s="34"/>
      <c r="BA57" s="5"/>
    </row>
    <row r="58" spans="1:53" ht="15.75" thickBot="1" x14ac:dyDescent="0.3">
      <c r="A58" s="24" t="s">
        <v>306</v>
      </c>
      <c r="B58" s="24" t="s">
        <v>306</v>
      </c>
      <c r="C58" s="24" t="s">
        <v>306</v>
      </c>
      <c r="D58" s="24" t="s">
        <v>306</v>
      </c>
      <c r="E58" s="24" t="s">
        <v>306</v>
      </c>
      <c r="F58" s="24" t="s">
        <v>305</v>
      </c>
      <c r="G58" s="24" t="s">
        <v>305</v>
      </c>
      <c r="H58" s="24" t="s">
        <v>306</v>
      </c>
      <c r="I58" s="24" t="s">
        <v>306</v>
      </c>
      <c r="J58" s="5" t="s">
        <v>363</v>
      </c>
      <c r="K58" s="5" t="s">
        <v>106</v>
      </c>
      <c r="L58" s="5" t="s">
        <v>360</v>
      </c>
      <c r="M58" s="5" t="s">
        <v>350</v>
      </c>
      <c r="N58" s="5" t="s">
        <v>351</v>
      </c>
      <c r="O58" s="5">
        <v>1.609</v>
      </c>
      <c r="P58" s="91"/>
      <c r="Q58" s="91"/>
      <c r="R58" s="286">
        <v>0.12606999999999999</v>
      </c>
      <c r="S58" s="91"/>
      <c r="T58" s="286">
        <v>3.3149999999999999E-2</v>
      </c>
      <c r="U58" s="91"/>
      <c r="V58" s="99">
        <f t="shared" si="1"/>
        <v>0.15921999999999997</v>
      </c>
      <c r="W58" s="34"/>
      <c r="X58" s="34"/>
      <c r="Y58" s="34"/>
      <c r="Z58" s="34"/>
      <c r="AA58" s="34"/>
      <c r="AB58" s="34"/>
      <c r="AC58" s="34"/>
      <c r="AD58" s="34"/>
      <c r="AE58" s="34"/>
      <c r="AF58" s="34"/>
      <c r="AG58" s="34"/>
      <c r="AH58" s="34"/>
      <c r="AI58" s="34"/>
      <c r="AJ58" s="34"/>
      <c r="AK58" s="34"/>
      <c r="AL58" s="34"/>
      <c r="AM58" s="34"/>
      <c r="AN58" s="34" t="s">
        <v>305</v>
      </c>
      <c r="AO58" s="34" t="s">
        <v>305</v>
      </c>
      <c r="AP58" s="34"/>
      <c r="AQ58" s="34"/>
      <c r="AR58" s="34"/>
      <c r="AS58" s="34"/>
      <c r="AT58" s="34"/>
      <c r="AU58" s="34"/>
      <c r="AV58" s="34"/>
      <c r="AW58" s="34"/>
      <c r="AX58" s="34"/>
      <c r="AY58" s="34"/>
      <c r="AZ58" s="34"/>
      <c r="BA58" s="5"/>
    </row>
    <row r="59" spans="1:53" ht="26.25" thickBot="1" x14ac:dyDescent="0.3">
      <c r="A59" s="24" t="s">
        <v>306</v>
      </c>
      <c r="B59" s="24" t="s">
        <v>306</v>
      </c>
      <c r="C59" s="24" t="s">
        <v>306</v>
      </c>
      <c r="D59" s="24" t="s">
        <v>306</v>
      </c>
      <c r="E59" s="24" t="s">
        <v>306</v>
      </c>
      <c r="F59" s="24" t="s">
        <v>305</v>
      </c>
      <c r="G59" s="24" t="s">
        <v>305</v>
      </c>
      <c r="H59" s="24" t="s">
        <v>306</v>
      </c>
      <c r="I59" s="24" t="s">
        <v>306</v>
      </c>
      <c r="J59" s="5" t="s">
        <v>363</v>
      </c>
      <c r="K59" s="5" t="s">
        <v>364</v>
      </c>
      <c r="L59" s="5" t="s">
        <v>361</v>
      </c>
      <c r="M59" s="5" t="s">
        <v>350</v>
      </c>
      <c r="N59" s="5" t="s">
        <v>351</v>
      </c>
      <c r="O59" s="5">
        <v>1.609</v>
      </c>
      <c r="P59" s="91"/>
      <c r="Q59" s="91"/>
      <c r="R59" s="286">
        <v>5.8290000000000002E-2</v>
      </c>
      <c r="S59" s="286">
        <v>2.49E-3</v>
      </c>
      <c r="T59" s="286">
        <v>1.52E-2</v>
      </c>
      <c r="U59" s="91"/>
      <c r="V59" s="99">
        <f t="shared" si="1"/>
        <v>7.5980000000000006E-2</v>
      </c>
      <c r="W59" s="34"/>
      <c r="X59" s="34"/>
      <c r="Y59" s="34"/>
      <c r="Z59" s="34"/>
      <c r="AA59" s="34"/>
      <c r="AB59" s="34"/>
      <c r="AC59" s="34"/>
      <c r="AD59" s="34"/>
      <c r="AE59" s="34"/>
      <c r="AF59" s="34"/>
      <c r="AG59" s="34"/>
      <c r="AH59" s="34"/>
      <c r="AI59" s="34"/>
      <c r="AJ59" s="34"/>
      <c r="AK59" s="34"/>
      <c r="AL59" s="34"/>
      <c r="AM59" s="34"/>
      <c r="AN59" s="34" t="s">
        <v>305</v>
      </c>
      <c r="AO59" s="34" t="s">
        <v>305</v>
      </c>
      <c r="AP59" s="34"/>
      <c r="AQ59" s="34"/>
      <c r="AR59" s="34"/>
      <c r="AS59" s="34"/>
      <c r="AT59" s="34"/>
      <c r="AU59" s="34"/>
      <c r="AV59" s="34"/>
      <c r="AW59" s="34"/>
      <c r="AX59" s="34"/>
      <c r="AY59" s="34"/>
      <c r="AZ59" s="34"/>
      <c r="BA59" s="5"/>
    </row>
    <row r="60" spans="1:53" ht="26.25" thickBot="1" x14ac:dyDescent="0.3">
      <c r="A60" s="24" t="s">
        <v>306</v>
      </c>
      <c r="B60" s="24" t="s">
        <v>306</v>
      </c>
      <c r="C60" s="24" t="s">
        <v>306</v>
      </c>
      <c r="D60" s="24" t="s">
        <v>306</v>
      </c>
      <c r="E60" s="24" t="s">
        <v>306</v>
      </c>
      <c r="F60" s="24" t="s">
        <v>305</v>
      </c>
      <c r="G60" s="24" t="s">
        <v>305</v>
      </c>
      <c r="H60" s="24" t="s">
        <v>306</v>
      </c>
      <c r="I60" s="24" t="s">
        <v>306</v>
      </c>
      <c r="J60" s="5" t="s">
        <v>363</v>
      </c>
      <c r="K60" s="5" t="s">
        <v>365</v>
      </c>
      <c r="L60" s="5" t="s">
        <v>361</v>
      </c>
      <c r="M60" s="5" t="s">
        <v>350</v>
      </c>
      <c r="N60" s="5" t="s">
        <v>351</v>
      </c>
      <c r="O60" s="5">
        <v>1.609</v>
      </c>
      <c r="P60" s="91"/>
      <c r="Q60" s="91"/>
      <c r="R60" s="286">
        <v>9.2149999999999996E-2</v>
      </c>
      <c r="S60" s="286">
        <v>9.7000000000000005E-4</v>
      </c>
      <c r="T60" s="286">
        <v>2.5239999999999999E-2</v>
      </c>
      <c r="U60" s="91"/>
      <c r="V60" s="99">
        <f t="shared" si="1"/>
        <v>0.11835999999999999</v>
      </c>
      <c r="W60" s="34"/>
      <c r="X60" s="34"/>
      <c r="Y60" s="34"/>
      <c r="Z60" s="34"/>
      <c r="AA60" s="34"/>
      <c r="AB60" s="34"/>
      <c r="AC60" s="34"/>
      <c r="AD60" s="34"/>
      <c r="AE60" s="34"/>
      <c r="AF60" s="34"/>
      <c r="AG60" s="34"/>
      <c r="AH60" s="34"/>
      <c r="AI60" s="34"/>
      <c r="AJ60" s="34"/>
      <c r="AK60" s="34"/>
      <c r="AL60" s="34"/>
      <c r="AM60" s="34"/>
      <c r="AN60" s="34" t="s">
        <v>305</v>
      </c>
      <c r="AO60" s="34" t="s">
        <v>305</v>
      </c>
      <c r="AP60" s="34"/>
      <c r="AQ60" s="34"/>
      <c r="AR60" s="34"/>
      <c r="AS60" s="34"/>
      <c r="AT60" s="34"/>
      <c r="AU60" s="34"/>
      <c r="AV60" s="34"/>
      <c r="AW60" s="34"/>
      <c r="AX60" s="34"/>
      <c r="AY60" s="34"/>
      <c r="AZ60" s="34"/>
      <c r="BA60" s="5"/>
    </row>
    <row r="61" spans="1:53" ht="26.25" thickBot="1" x14ac:dyDescent="0.3">
      <c r="A61" s="24" t="s">
        <v>306</v>
      </c>
      <c r="B61" s="24" t="s">
        <v>306</v>
      </c>
      <c r="C61" s="24" t="s">
        <v>306</v>
      </c>
      <c r="D61" s="24" t="s">
        <v>306</v>
      </c>
      <c r="E61" s="24" t="s">
        <v>306</v>
      </c>
      <c r="F61" s="24" t="s">
        <v>305</v>
      </c>
      <c r="G61" s="24" t="s">
        <v>305</v>
      </c>
      <c r="H61" s="24" t="s">
        <v>306</v>
      </c>
      <c r="I61" s="24" t="s">
        <v>306</v>
      </c>
      <c r="J61" s="5" t="s">
        <v>363</v>
      </c>
      <c r="K61" s="5" t="s">
        <v>366</v>
      </c>
      <c r="L61" s="5" t="s">
        <v>361</v>
      </c>
      <c r="M61" s="5" t="s">
        <v>350</v>
      </c>
      <c r="N61" s="5" t="s">
        <v>351</v>
      </c>
      <c r="O61" s="5">
        <v>1.609</v>
      </c>
      <c r="P61" s="91"/>
      <c r="Q61" s="91"/>
      <c r="R61" s="286">
        <v>0.11792</v>
      </c>
      <c r="S61" s="286">
        <v>1.31E-3</v>
      </c>
      <c r="T61" s="286">
        <v>3.2210000000000003E-2</v>
      </c>
      <c r="U61" s="91"/>
      <c r="V61" s="99">
        <f t="shared" si="1"/>
        <v>0.15144000000000002</v>
      </c>
      <c r="W61" s="34"/>
      <c r="X61" s="34"/>
      <c r="Y61" s="34"/>
      <c r="Z61" s="34"/>
      <c r="AA61" s="34"/>
      <c r="AB61" s="34"/>
      <c r="AC61" s="34"/>
      <c r="AD61" s="34"/>
      <c r="AE61" s="34"/>
      <c r="AF61" s="34"/>
      <c r="AG61" s="34"/>
      <c r="AH61" s="34"/>
      <c r="AI61" s="34"/>
      <c r="AJ61" s="34"/>
      <c r="AK61" s="34"/>
      <c r="AL61" s="34"/>
      <c r="AM61" s="34"/>
      <c r="AN61" s="34" t="s">
        <v>305</v>
      </c>
      <c r="AO61" s="34" t="s">
        <v>305</v>
      </c>
      <c r="AP61" s="34"/>
      <c r="AQ61" s="34"/>
      <c r="AR61" s="34"/>
      <c r="AS61" s="34"/>
      <c r="AT61" s="34"/>
      <c r="AU61" s="34"/>
      <c r="AV61" s="34"/>
      <c r="AW61" s="34"/>
      <c r="AX61" s="34"/>
      <c r="AY61" s="34"/>
      <c r="AZ61" s="34"/>
      <c r="BA61" s="5"/>
    </row>
    <row r="62" spans="1:53" ht="26.25" thickBot="1" x14ac:dyDescent="0.3">
      <c r="A62" s="24" t="s">
        <v>306</v>
      </c>
      <c r="B62" s="24" t="s">
        <v>306</v>
      </c>
      <c r="C62" s="24" t="s">
        <v>306</v>
      </c>
      <c r="D62" s="24" t="s">
        <v>306</v>
      </c>
      <c r="E62" s="24" t="s">
        <v>306</v>
      </c>
      <c r="F62" s="24" t="s">
        <v>305</v>
      </c>
      <c r="G62" s="24" t="s">
        <v>305</v>
      </c>
      <c r="H62" s="24" t="s">
        <v>306</v>
      </c>
      <c r="I62" s="24" t="s">
        <v>306</v>
      </c>
      <c r="J62" s="5" t="s">
        <v>363</v>
      </c>
      <c r="K62" s="5" t="s">
        <v>106</v>
      </c>
      <c r="L62" s="5" t="s">
        <v>361</v>
      </c>
      <c r="M62" s="5" t="s">
        <v>350</v>
      </c>
      <c r="N62" s="5" t="s">
        <v>351</v>
      </c>
      <c r="O62" s="5">
        <v>1.609</v>
      </c>
      <c r="P62" s="91"/>
      <c r="Q62" s="91"/>
      <c r="R62" s="286">
        <v>0.10732</v>
      </c>
      <c r="S62" s="286">
        <v>1.2099999999999999E-3</v>
      </c>
      <c r="T62" s="286">
        <v>2.9340000000000001E-2</v>
      </c>
      <c r="U62" s="91"/>
      <c r="V62" s="99">
        <f t="shared" si="1"/>
        <v>0.13786999999999999</v>
      </c>
      <c r="W62" s="34"/>
      <c r="X62" s="34"/>
      <c r="Y62" s="34"/>
      <c r="Z62" s="34"/>
      <c r="AA62" s="34"/>
      <c r="AB62" s="34"/>
      <c r="AC62" s="34"/>
      <c r="AD62" s="34"/>
      <c r="AE62" s="34"/>
      <c r="AF62" s="34"/>
      <c r="AG62" s="34"/>
      <c r="AH62" s="34"/>
      <c r="AI62" s="34"/>
      <c r="AJ62" s="34"/>
      <c r="AK62" s="34"/>
      <c r="AL62" s="34"/>
      <c r="AM62" s="34"/>
      <c r="AN62" s="34" t="s">
        <v>305</v>
      </c>
      <c r="AO62" s="34" t="s">
        <v>305</v>
      </c>
      <c r="AP62" s="34"/>
      <c r="AQ62" s="34"/>
      <c r="AR62" s="34"/>
      <c r="AS62" s="34"/>
      <c r="AT62" s="34"/>
      <c r="AU62" s="34"/>
      <c r="AV62" s="34"/>
      <c r="AW62" s="34"/>
      <c r="AX62" s="34"/>
      <c r="AY62" s="34"/>
      <c r="AZ62" s="34"/>
      <c r="BA62" s="5"/>
    </row>
    <row r="63" spans="1:53" ht="26.25" thickBot="1" x14ac:dyDescent="0.3">
      <c r="A63" s="24" t="s">
        <v>306</v>
      </c>
      <c r="B63" s="24" t="s">
        <v>306</v>
      </c>
      <c r="C63" s="24" t="s">
        <v>306</v>
      </c>
      <c r="D63" s="24" t="s">
        <v>306</v>
      </c>
      <c r="E63" s="24" t="s">
        <v>306</v>
      </c>
      <c r="F63" s="24" t="s">
        <v>305</v>
      </c>
      <c r="G63" s="24" t="s">
        <v>305</v>
      </c>
      <c r="H63" s="24" t="s">
        <v>306</v>
      </c>
      <c r="I63" s="24" t="s">
        <v>306</v>
      </c>
      <c r="J63" s="5" t="s">
        <v>363</v>
      </c>
      <c r="K63" s="5" t="s">
        <v>364</v>
      </c>
      <c r="L63" s="5" t="s">
        <v>352</v>
      </c>
      <c r="M63" s="5" t="s">
        <v>350</v>
      </c>
      <c r="N63" s="5" t="s">
        <v>351</v>
      </c>
      <c r="O63" s="5">
        <v>1.609</v>
      </c>
      <c r="P63" s="91"/>
      <c r="Q63" s="91"/>
      <c r="R63" s="286">
        <v>3.9370000000000002E-2</v>
      </c>
      <c r="S63" s="286">
        <v>3.47E-3</v>
      </c>
      <c r="T63" s="286">
        <v>9.4800000000000006E-3</v>
      </c>
      <c r="U63" s="91"/>
      <c r="V63" s="99">
        <f t="shared" si="1"/>
        <v>5.2320000000000005E-2</v>
      </c>
      <c r="W63" s="34"/>
      <c r="X63" s="34"/>
      <c r="Y63" s="34"/>
      <c r="Z63" s="34"/>
      <c r="AA63" s="34"/>
      <c r="AB63" s="34"/>
      <c r="AC63" s="34"/>
      <c r="AD63" s="34"/>
      <c r="AE63" s="34"/>
      <c r="AF63" s="34"/>
      <c r="AG63" s="34"/>
      <c r="AH63" s="34"/>
      <c r="AI63" s="34"/>
      <c r="AJ63" s="34"/>
      <c r="AK63" s="34"/>
      <c r="AL63" s="34"/>
      <c r="AM63" s="34"/>
      <c r="AN63" s="34" t="s">
        <v>305</v>
      </c>
      <c r="AO63" s="34" t="s">
        <v>305</v>
      </c>
      <c r="AP63" s="34"/>
      <c r="AQ63" s="34"/>
      <c r="AR63" s="34"/>
      <c r="AS63" s="34"/>
      <c r="AT63" s="34"/>
      <c r="AU63" s="34"/>
      <c r="AV63" s="34"/>
      <c r="AW63" s="34"/>
      <c r="AX63" s="34"/>
      <c r="AY63" s="34"/>
      <c r="AZ63" s="34"/>
      <c r="BA63" s="5"/>
    </row>
    <row r="64" spans="1:53" ht="26.25" thickBot="1" x14ac:dyDescent="0.3">
      <c r="A64" s="24" t="s">
        <v>306</v>
      </c>
      <c r="B64" s="24" t="s">
        <v>306</v>
      </c>
      <c r="C64" s="24" t="s">
        <v>306</v>
      </c>
      <c r="D64" s="24" t="s">
        <v>306</v>
      </c>
      <c r="E64" s="24" t="s">
        <v>306</v>
      </c>
      <c r="F64" s="24" t="s">
        <v>305</v>
      </c>
      <c r="G64" s="24" t="s">
        <v>305</v>
      </c>
      <c r="H64" s="24" t="s">
        <v>306</v>
      </c>
      <c r="I64" s="24" t="s">
        <v>306</v>
      </c>
      <c r="J64" s="5" t="s">
        <v>363</v>
      </c>
      <c r="K64" s="5" t="s">
        <v>365</v>
      </c>
      <c r="L64" s="5" t="s">
        <v>352</v>
      </c>
      <c r="M64" s="5" t="s">
        <v>350</v>
      </c>
      <c r="N64" s="5" t="s">
        <v>351</v>
      </c>
      <c r="O64" s="5">
        <v>1.609</v>
      </c>
      <c r="P64" s="91"/>
      <c r="Q64" s="91"/>
      <c r="R64" s="286">
        <v>4.249E-2</v>
      </c>
      <c r="S64" s="286">
        <v>3.7599999999999999E-3</v>
      </c>
      <c r="T64" s="286">
        <v>1.022E-2</v>
      </c>
      <c r="U64" s="91"/>
      <c r="V64" s="99">
        <f t="shared" si="1"/>
        <v>5.6469999999999999E-2</v>
      </c>
      <c r="W64" s="34"/>
      <c r="X64" s="34"/>
      <c r="Y64" s="34"/>
      <c r="Z64" s="34"/>
      <c r="AA64" s="34"/>
      <c r="AB64" s="34"/>
      <c r="AC64" s="34"/>
      <c r="AD64" s="34"/>
      <c r="AE64" s="34"/>
      <c r="AF64" s="34"/>
      <c r="AG64" s="34"/>
      <c r="AH64" s="34"/>
      <c r="AI64" s="34"/>
      <c r="AJ64" s="34"/>
      <c r="AK64" s="34"/>
      <c r="AL64" s="34"/>
      <c r="AM64" s="34"/>
      <c r="AN64" s="34" t="s">
        <v>305</v>
      </c>
      <c r="AO64" s="34" t="s">
        <v>305</v>
      </c>
      <c r="AP64" s="34"/>
      <c r="AQ64" s="34"/>
      <c r="AR64" s="34"/>
      <c r="AS64" s="34"/>
      <c r="AT64" s="34"/>
      <c r="AU64" s="34"/>
      <c r="AV64" s="34"/>
      <c r="AW64" s="34"/>
      <c r="AX64" s="34"/>
      <c r="AY64" s="34"/>
      <c r="AZ64" s="34"/>
      <c r="BA64" s="5"/>
    </row>
    <row r="65" spans="1:53" ht="26.25" thickBot="1" x14ac:dyDescent="0.3">
      <c r="A65" s="24" t="s">
        <v>306</v>
      </c>
      <c r="B65" s="24" t="s">
        <v>306</v>
      </c>
      <c r="C65" s="24" t="s">
        <v>306</v>
      </c>
      <c r="D65" s="24" t="s">
        <v>306</v>
      </c>
      <c r="E65" s="24" t="s">
        <v>306</v>
      </c>
      <c r="F65" s="24" t="s">
        <v>305</v>
      </c>
      <c r="G65" s="24" t="s">
        <v>305</v>
      </c>
      <c r="H65" s="24" t="s">
        <v>306</v>
      </c>
      <c r="I65" s="24" t="s">
        <v>306</v>
      </c>
      <c r="J65" s="5" t="s">
        <v>363</v>
      </c>
      <c r="K65" s="5" t="s">
        <v>366</v>
      </c>
      <c r="L65" s="5" t="s">
        <v>352</v>
      </c>
      <c r="M65" s="5" t="s">
        <v>350</v>
      </c>
      <c r="N65" s="5" t="s">
        <v>351</v>
      </c>
      <c r="O65" s="5">
        <v>1.609</v>
      </c>
      <c r="P65" s="91"/>
      <c r="Q65" s="91"/>
      <c r="R65" s="286">
        <v>4.5249999999999999E-2</v>
      </c>
      <c r="S65" s="286">
        <v>4.0000000000000001E-3</v>
      </c>
      <c r="T65" s="286">
        <v>1.0880000000000001E-2</v>
      </c>
      <c r="U65" s="91"/>
      <c r="V65" s="99">
        <f t="shared" si="1"/>
        <v>6.0130000000000003E-2</v>
      </c>
      <c r="W65" s="34"/>
      <c r="X65" s="34"/>
      <c r="Y65" s="34"/>
      <c r="Z65" s="34"/>
      <c r="AA65" s="34"/>
      <c r="AB65" s="34"/>
      <c r="AC65" s="34"/>
      <c r="AD65" s="34"/>
      <c r="AE65" s="34"/>
      <c r="AF65" s="34"/>
      <c r="AG65" s="34"/>
      <c r="AH65" s="34"/>
      <c r="AI65" s="34"/>
      <c r="AJ65" s="34"/>
      <c r="AK65" s="34"/>
      <c r="AL65" s="34"/>
      <c r="AM65" s="34"/>
      <c r="AN65" s="34" t="s">
        <v>305</v>
      </c>
      <c r="AO65" s="34" t="s">
        <v>305</v>
      </c>
      <c r="AP65" s="34"/>
      <c r="AQ65" s="34"/>
      <c r="AR65" s="34"/>
      <c r="AS65" s="34"/>
      <c r="AT65" s="34"/>
      <c r="AU65" s="34"/>
      <c r="AV65" s="34"/>
      <c r="AW65" s="34"/>
      <c r="AX65" s="34"/>
      <c r="AY65" s="34"/>
      <c r="AZ65" s="34"/>
      <c r="BA65" s="5"/>
    </row>
    <row r="66" spans="1:53" ht="26.25" thickBot="1" x14ac:dyDescent="0.3">
      <c r="A66" s="24" t="s">
        <v>306</v>
      </c>
      <c r="B66" s="24" t="s">
        <v>306</v>
      </c>
      <c r="C66" s="24" t="s">
        <v>306</v>
      </c>
      <c r="D66" s="24" t="s">
        <v>306</v>
      </c>
      <c r="E66" s="24" t="s">
        <v>306</v>
      </c>
      <c r="F66" s="24" t="s">
        <v>305</v>
      </c>
      <c r="G66" s="24" t="s">
        <v>305</v>
      </c>
      <c r="H66" s="24" t="s">
        <v>306</v>
      </c>
      <c r="I66" s="24" t="s">
        <v>306</v>
      </c>
      <c r="J66" s="5" t="s">
        <v>363</v>
      </c>
      <c r="K66" s="5" t="s">
        <v>106</v>
      </c>
      <c r="L66" s="5" t="s">
        <v>352</v>
      </c>
      <c r="M66" s="5" t="s">
        <v>350</v>
      </c>
      <c r="N66" s="5" t="s">
        <v>351</v>
      </c>
      <c r="O66" s="5">
        <v>1.609</v>
      </c>
      <c r="P66" s="91"/>
      <c r="Q66" s="91"/>
      <c r="R66" s="286">
        <v>4.3589999999999997E-2</v>
      </c>
      <c r="S66" s="286">
        <v>3.8600000000000001E-3</v>
      </c>
      <c r="T66" s="286">
        <v>1.0489999999999999E-2</v>
      </c>
      <c r="U66" s="91"/>
      <c r="V66" s="99">
        <f t="shared" si="1"/>
        <v>5.7939999999999998E-2</v>
      </c>
      <c r="W66" s="34"/>
      <c r="X66" s="34"/>
      <c r="Y66" s="34"/>
      <c r="Z66" s="34"/>
      <c r="AA66" s="34"/>
      <c r="AB66" s="34"/>
      <c r="AC66" s="34"/>
      <c r="AD66" s="34"/>
      <c r="AE66" s="34"/>
      <c r="AF66" s="34"/>
      <c r="AG66" s="34"/>
      <c r="AH66" s="34"/>
      <c r="AI66" s="34"/>
      <c r="AJ66" s="34"/>
      <c r="AK66" s="34"/>
      <c r="AL66" s="34"/>
      <c r="AM66" s="34"/>
      <c r="AN66" s="34" t="s">
        <v>305</v>
      </c>
      <c r="AO66" s="34" t="s">
        <v>305</v>
      </c>
      <c r="AP66" s="34"/>
      <c r="AQ66" s="34"/>
      <c r="AR66" s="34"/>
      <c r="AS66" s="34"/>
      <c r="AT66" s="34"/>
      <c r="AU66" s="34"/>
      <c r="AV66" s="34"/>
      <c r="AW66" s="34"/>
      <c r="AX66" s="34"/>
      <c r="AY66" s="34"/>
      <c r="AZ66" s="34"/>
      <c r="BA66" s="5"/>
    </row>
    <row r="67" spans="1:53" ht="15.75" thickBot="1" x14ac:dyDescent="0.3">
      <c r="A67" s="24" t="s">
        <v>306</v>
      </c>
      <c r="B67" s="24" t="s">
        <v>306</v>
      </c>
      <c r="C67" s="24" t="s">
        <v>306</v>
      </c>
      <c r="D67" s="24" t="s">
        <v>306</v>
      </c>
      <c r="E67" s="24" t="s">
        <v>306</v>
      </c>
      <c r="F67" s="24" t="s">
        <v>305</v>
      </c>
      <c r="G67" s="24" t="s">
        <v>305</v>
      </c>
      <c r="H67" s="24" t="s">
        <v>306</v>
      </c>
      <c r="I67" s="24" t="s">
        <v>306</v>
      </c>
      <c r="J67" s="5" t="s">
        <v>363</v>
      </c>
      <c r="K67" s="5" t="s">
        <v>364</v>
      </c>
      <c r="L67" s="5" t="s">
        <v>362</v>
      </c>
      <c r="M67" s="5" t="s">
        <v>350</v>
      </c>
      <c r="N67" s="5" t="s">
        <v>351</v>
      </c>
      <c r="O67" s="5">
        <v>1.609</v>
      </c>
      <c r="P67" s="91"/>
      <c r="Q67" s="91"/>
      <c r="R67" s="286">
        <v>0.14262</v>
      </c>
      <c r="S67" s="91"/>
      <c r="T67" s="286">
        <v>3.8359999999999998E-2</v>
      </c>
      <c r="U67" s="91"/>
      <c r="V67" s="99">
        <f t="shared" ref="V67:V98" si="2">SUM(P67:U67)</f>
        <v>0.18098</v>
      </c>
      <c r="W67" s="34"/>
      <c r="X67" s="34"/>
      <c r="Y67" s="34"/>
      <c r="Z67" s="34"/>
      <c r="AA67" s="34"/>
      <c r="AB67" s="34"/>
      <c r="AC67" s="34"/>
      <c r="AD67" s="34"/>
      <c r="AE67" s="34"/>
      <c r="AF67" s="34"/>
      <c r="AG67" s="34"/>
      <c r="AH67" s="34"/>
      <c r="AI67" s="34"/>
      <c r="AJ67" s="34"/>
      <c r="AK67" s="34"/>
      <c r="AL67" s="34"/>
      <c r="AM67" s="34"/>
      <c r="AN67" s="34" t="s">
        <v>305</v>
      </c>
      <c r="AO67" s="34" t="s">
        <v>305</v>
      </c>
      <c r="AP67" s="34"/>
      <c r="AQ67" s="34"/>
      <c r="AR67" s="34"/>
      <c r="AS67" s="34"/>
      <c r="AT67" s="34"/>
      <c r="AU67" s="34"/>
      <c r="AV67" s="34"/>
      <c r="AW67" s="34"/>
      <c r="AX67" s="34"/>
      <c r="AY67" s="34"/>
      <c r="AZ67" s="34"/>
      <c r="BA67" s="5"/>
    </row>
    <row r="68" spans="1:53" ht="15.75" thickBot="1" x14ac:dyDescent="0.3">
      <c r="A68" s="24" t="s">
        <v>306</v>
      </c>
      <c r="B68" s="24" t="s">
        <v>306</v>
      </c>
      <c r="C68" s="24" t="s">
        <v>306</v>
      </c>
      <c r="D68" s="24" t="s">
        <v>306</v>
      </c>
      <c r="E68" s="24" t="s">
        <v>306</v>
      </c>
      <c r="F68" s="24" t="s">
        <v>305</v>
      </c>
      <c r="G68" s="24" t="s">
        <v>305</v>
      </c>
      <c r="H68" s="24" t="s">
        <v>306</v>
      </c>
      <c r="I68" s="24" t="s">
        <v>306</v>
      </c>
      <c r="J68" s="5" t="s">
        <v>363</v>
      </c>
      <c r="K68" s="5" t="s">
        <v>365</v>
      </c>
      <c r="L68" s="5" t="s">
        <v>362</v>
      </c>
      <c r="M68" s="5" t="s">
        <v>350</v>
      </c>
      <c r="N68" s="5" t="s">
        <v>351</v>
      </c>
      <c r="O68" s="5">
        <v>1.609</v>
      </c>
      <c r="P68" s="91"/>
      <c r="Q68" s="91"/>
      <c r="R68" s="286">
        <v>0.17255999999999999</v>
      </c>
      <c r="S68" s="91"/>
      <c r="T68" s="286">
        <v>4.5179999999999998E-2</v>
      </c>
      <c r="U68" s="91"/>
      <c r="V68" s="99">
        <f t="shared" si="2"/>
        <v>0.21773999999999999</v>
      </c>
      <c r="W68" s="34"/>
      <c r="X68" s="34"/>
      <c r="Y68" s="34"/>
      <c r="Z68" s="34"/>
      <c r="AA68" s="34"/>
      <c r="AB68" s="34"/>
      <c r="AC68" s="34"/>
      <c r="AD68" s="34"/>
      <c r="AE68" s="34"/>
      <c r="AF68" s="34"/>
      <c r="AG68" s="34"/>
      <c r="AH68" s="34"/>
      <c r="AI68" s="34"/>
      <c r="AJ68" s="34"/>
      <c r="AK68" s="34"/>
      <c r="AL68" s="34"/>
      <c r="AM68" s="34"/>
      <c r="AN68" s="34" t="s">
        <v>305</v>
      </c>
      <c r="AO68" s="34" t="s">
        <v>305</v>
      </c>
      <c r="AP68" s="34"/>
      <c r="AQ68" s="34"/>
      <c r="AR68" s="34"/>
      <c r="AS68" s="34"/>
      <c r="AT68" s="34"/>
      <c r="AU68" s="34"/>
      <c r="AV68" s="34"/>
      <c r="AW68" s="34"/>
      <c r="AX68" s="34"/>
      <c r="AY68" s="34"/>
      <c r="AZ68" s="34"/>
      <c r="BA68" s="5"/>
    </row>
    <row r="69" spans="1:53" ht="15.75" thickBot="1" x14ac:dyDescent="0.3">
      <c r="A69" s="24" t="s">
        <v>306</v>
      </c>
      <c r="B69" s="24" t="s">
        <v>306</v>
      </c>
      <c r="C69" s="24" t="s">
        <v>306</v>
      </c>
      <c r="D69" s="24" t="s">
        <v>306</v>
      </c>
      <c r="E69" s="24" t="s">
        <v>306</v>
      </c>
      <c r="F69" s="24" t="s">
        <v>305</v>
      </c>
      <c r="G69" s="24" t="s">
        <v>305</v>
      </c>
      <c r="H69" s="24" t="s">
        <v>306</v>
      </c>
      <c r="I69" s="24" t="s">
        <v>306</v>
      </c>
      <c r="J69" s="5" t="s">
        <v>363</v>
      </c>
      <c r="K69" s="5" t="s">
        <v>366</v>
      </c>
      <c r="L69" s="5" t="s">
        <v>362</v>
      </c>
      <c r="M69" s="5" t="s">
        <v>350</v>
      </c>
      <c r="N69" s="5" t="s">
        <v>351</v>
      </c>
      <c r="O69" s="5">
        <v>1.609</v>
      </c>
      <c r="P69" s="91"/>
      <c r="Q69" s="91"/>
      <c r="R69" s="286">
        <v>0.22472</v>
      </c>
      <c r="S69" s="91"/>
      <c r="T69" s="286">
        <v>5.7639999999999997E-2</v>
      </c>
      <c r="U69" s="91"/>
      <c r="V69" s="99">
        <f t="shared" si="2"/>
        <v>0.28236</v>
      </c>
      <c r="W69" s="34"/>
      <c r="X69" s="34"/>
      <c r="Y69" s="34"/>
      <c r="Z69" s="34"/>
      <c r="AA69" s="34"/>
      <c r="AB69" s="34"/>
      <c r="AC69" s="34"/>
      <c r="AD69" s="34"/>
      <c r="AE69" s="34"/>
      <c r="AF69" s="34"/>
      <c r="AG69" s="34"/>
      <c r="AH69" s="34"/>
      <c r="AI69" s="34"/>
      <c r="AJ69" s="34"/>
      <c r="AK69" s="34"/>
      <c r="AL69" s="34"/>
      <c r="AM69" s="34"/>
      <c r="AN69" s="34" t="s">
        <v>305</v>
      </c>
      <c r="AO69" s="34" t="s">
        <v>305</v>
      </c>
      <c r="AP69" s="34"/>
      <c r="AQ69" s="34"/>
      <c r="AR69" s="34"/>
      <c r="AS69" s="34"/>
      <c r="AT69" s="34"/>
      <c r="AU69" s="34"/>
      <c r="AV69" s="34"/>
      <c r="AW69" s="34"/>
      <c r="AX69" s="34"/>
      <c r="AY69" s="34"/>
      <c r="AZ69" s="34"/>
      <c r="BA69" s="5"/>
    </row>
    <row r="70" spans="1:53" ht="15.75" thickBot="1" x14ac:dyDescent="0.3">
      <c r="A70" s="24" t="s">
        <v>306</v>
      </c>
      <c r="B70" s="24" t="s">
        <v>306</v>
      </c>
      <c r="C70" s="24" t="s">
        <v>306</v>
      </c>
      <c r="D70" s="24" t="s">
        <v>306</v>
      </c>
      <c r="E70" s="24" t="s">
        <v>306</v>
      </c>
      <c r="F70" s="24" t="s">
        <v>305</v>
      </c>
      <c r="G70" s="24" t="s">
        <v>305</v>
      </c>
      <c r="H70" s="24" t="s">
        <v>306</v>
      </c>
      <c r="I70" s="24" t="s">
        <v>306</v>
      </c>
      <c r="J70" s="5" t="s">
        <v>363</v>
      </c>
      <c r="K70" s="5" t="s">
        <v>106</v>
      </c>
      <c r="L70" s="5" t="s">
        <v>362</v>
      </c>
      <c r="M70" s="5" t="s">
        <v>350</v>
      </c>
      <c r="N70" s="5" t="s">
        <v>351</v>
      </c>
      <c r="O70" s="5">
        <v>1.609</v>
      </c>
      <c r="P70" s="91"/>
      <c r="Q70" s="91"/>
      <c r="R70" s="286">
        <v>0.16691</v>
      </c>
      <c r="S70" s="91"/>
      <c r="T70" s="286">
        <v>4.3990000000000001E-2</v>
      </c>
      <c r="U70" s="91"/>
      <c r="V70" s="99">
        <f t="shared" si="2"/>
        <v>0.2109</v>
      </c>
      <c r="W70" s="34"/>
      <c r="X70" s="34"/>
      <c r="Y70" s="34"/>
      <c r="Z70" s="34"/>
      <c r="AA70" s="34"/>
      <c r="AB70" s="34"/>
      <c r="AC70" s="34"/>
      <c r="AD70" s="34"/>
      <c r="AE70" s="34"/>
      <c r="AF70" s="34"/>
      <c r="AG70" s="34"/>
      <c r="AH70" s="34"/>
      <c r="AI70" s="34"/>
      <c r="AJ70" s="34"/>
      <c r="AK70" s="34"/>
      <c r="AL70" s="34"/>
      <c r="AM70" s="34"/>
      <c r="AN70" s="34" t="s">
        <v>305</v>
      </c>
      <c r="AO70" s="34" t="s">
        <v>305</v>
      </c>
      <c r="AP70" s="34"/>
      <c r="AQ70" s="34"/>
      <c r="AR70" s="34"/>
      <c r="AS70" s="34"/>
      <c r="AT70" s="34"/>
      <c r="AU70" s="34"/>
      <c r="AV70" s="34"/>
      <c r="AW70" s="34"/>
      <c r="AX70" s="34"/>
      <c r="AY70" s="34"/>
      <c r="AZ70" s="34"/>
      <c r="BA70" s="5"/>
    </row>
    <row r="71" spans="1:53" ht="15.75" thickBot="1" x14ac:dyDescent="0.3">
      <c r="A71" s="24" t="s">
        <v>306</v>
      </c>
      <c r="B71" s="24" t="s">
        <v>306</v>
      </c>
      <c r="C71" s="24" t="s">
        <v>306</v>
      </c>
      <c r="D71" s="24" t="s">
        <v>306</v>
      </c>
      <c r="E71" s="24" t="s">
        <v>306</v>
      </c>
      <c r="F71" s="24" t="s">
        <v>305</v>
      </c>
      <c r="G71" s="24" t="s">
        <v>305</v>
      </c>
      <c r="H71" s="24" t="s">
        <v>306</v>
      </c>
      <c r="I71" s="24" t="s">
        <v>306</v>
      </c>
      <c r="J71" s="5" t="s">
        <v>367</v>
      </c>
      <c r="K71" s="5" t="s">
        <v>364</v>
      </c>
      <c r="L71" s="5" t="s">
        <v>326</v>
      </c>
      <c r="M71" s="5" t="s">
        <v>350</v>
      </c>
      <c r="N71" s="5" t="s">
        <v>351</v>
      </c>
      <c r="O71" s="5">
        <v>1.609</v>
      </c>
      <c r="P71" s="91"/>
      <c r="Q71" s="91"/>
      <c r="R71" s="286">
        <v>0.13994000000000001</v>
      </c>
      <c r="S71" s="91"/>
      <c r="T71" s="286">
        <v>3.4090000000000002E-2</v>
      </c>
      <c r="U71" s="91"/>
      <c r="V71" s="99">
        <f t="shared" si="2"/>
        <v>0.17403000000000002</v>
      </c>
      <c r="W71" s="34"/>
      <c r="X71" s="34"/>
      <c r="Y71" s="34"/>
      <c r="Z71" s="34"/>
      <c r="AA71" s="34"/>
      <c r="AB71" s="34"/>
      <c r="AC71" s="34"/>
      <c r="AD71" s="34"/>
      <c r="AE71" s="34"/>
      <c r="AF71" s="34"/>
      <c r="AG71" s="34"/>
      <c r="AH71" s="34"/>
      <c r="AI71" s="34"/>
      <c r="AJ71" s="34"/>
      <c r="AK71" s="34"/>
      <c r="AL71" s="34"/>
      <c r="AM71" s="34"/>
      <c r="AN71" s="34" t="s">
        <v>305</v>
      </c>
      <c r="AO71" s="34" t="s">
        <v>305</v>
      </c>
      <c r="AP71" s="34"/>
      <c r="AQ71" s="34"/>
      <c r="AR71" s="34"/>
      <c r="AS71" s="34"/>
      <c r="AT71" s="34"/>
      <c r="AU71" s="34"/>
      <c r="AV71" s="34"/>
      <c r="AW71" s="34"/>
      <c r="AX71" s="34"/>
      <c r="AY71" s="34"/>
      <c r="AZ71" s="34"/>
      <c r="BA71" s="5"/>
    </row>
    <row r="72" spans="1:53" ht="15.75" thickBot="1" x14ac:dyDescent="0.3">
      <c r="A72" s="24" t="s">
        <v>306</v>
      </c>
      <c r="B72" s="24" t="s">
        <v>306</v>
      </c>
      <c r="C72" s="24" t="s">
        <v>306</v>
      </c>
      <c r="D72" s="24" t="s">
        <v>306</v>
      </c>
      <c r="E72" s="24" t="s">
        <v>306</v>
      </c>
      <c r="F72" s="24" t="s">
        <v>305</v>
      </c>
      <c r="G72" s="24" t="s">
        <v>305</v>
      </c>
      <c r="H72" s="24" t="s">
        <v>306</v>
      </c>
      <c r="I72" s="24" t="s">
        <v>306</v>
      </c>
      <c r="J72" s="5" t="s">
        <v>367</v>
      </c>
      <c r="K72" s="5" t="s">
        <v>365</v>
      </c>
      <c r="L72" s="5" t="s">
        <v>326</v>
      </c>
      <c r="M72" s="5" t="s">
        <v>350</v>
      </c>
      <c r="N72" s="5" t="s">
        <v>351</v>
      </c>
      <c r="O72" s="5">
        <v>1.609</v>
      </c>
      <c r="P72" s="91"/>
      <c r="Q72" s="91"/>
      <c r="R72" s="286">
        <v>0.16807</v>
      </c>
      <c r="S72" s="91"/>
      <c r="T72" s="286">
        <v>4.1029999999999997E-2</v>
      </c>
      <c r="U72" s="91"/>
      <c r="V72" s="99">
        <f t="shared" si="2"/>
        <v>0.20910000000000001</v>
      </c>
      <c r="W72" s="34"/>
      <c r="X72" s="34"/>
      <c r="Y72" s="34"/>
      <c r="Z72" s="34"/>
      <c r="AA72" s="34"/>
      <c r="AB72" s="34"/>
      <c r="AC72" s="34"/>
      <c r="AD72" s="34"/>
      <c r="AE72" s="34"/>
      <c r="AF72" s="34"/>
      <c r="AG72" s="34"/>
      <c r="AH72" s="34"/>
      <c r="AI72" s="34"/>
      <c r="AJ72" s="34"/>
      <c r="AK72" s="34"/>
      <c r="AL72" s="34"/>
      <c r="AM72" s="34"/>
      <c r="AN72" s="34" t="s">
        <v>305</v>
      </c>
      <c r="AO72" s="34" t="s">
        <v>305</v>
      </c>
      <c r="AP72" s="34"/>
      <c r="AQ72" s="34"/>
      <c r="AR72" s="34"/>
      <c r="AS72" s="34"/>
      <c r="AT72" s="34"/>
      <c r="AU72" s="34"/>
      <c r="AV72" s="34"/>
      <c r="AW72" s="34"/>
      <c r="AX72" s="34"/>
      <c r="AY72" s="34"/>
      <c r="AZ72" s="34"/>
      <c r="BA72" s="5"/>
    </row>
    <row r="73" spans="1:53" ht="15.75" thickBot="1" x14ac:dyDescent="0.3">
      <c r="A73" s="24" t="s">
        <v>306</v>
      </c>
      <c r="B73" s="24" t="s">
        <v>306</v>
      </c>
      <c r="C73" s="24" t="s">
        <v>306</v>
      </c>
      <c r="D73" s="24" t="s">
        <v>306</v>
      </c>
      <c r="E73" s="24" t="s">
        <v>306</v>
      </c>
      <c r="F73" s="24" t="s">
        <v>305</v>
      </c>
      <c r="G73" s="24" t="s">
        <v>305</v>
      </c>
      <c r="H73" s="24" t="s">
        <v>306</v>
      </c>
      <c r="I73" s="24" t="s">
        <v>306</v>
      </c>
      <c r="J73" s="5" t="s">
        <v>367</v>
      </c>
      <c r="K73" s="5" t="s">
        <v>366</v>
      </c>
      <c r="L73" s="5" t="s">
        <v>326</v>
      </c>
      <c r="M73" s="5" t="s">
        <v>350</v>
      </c>
      <c r="N73" s="5" t="s">
        <v>351</v>
      </c>
      <c r="O73" s="5">
        <v>1.609</v>
      </c>
      <c r="P73" s="91"/>
      <c r="Q73" s="91"/>
      <c r="R73" s="286">
        <v>0.20729</v>
      </c>
      <c r="S73" s="91"/>
      <c r="T73" s="286">
        <v>5.0700000000000002E-2</v>
      </c>
      <c r="U73" s="91"/>
      <c r="V73" s="99">
        <f t="shared" si="2"/>
        <v>0.25799</v>
      </c>
      <c r="W73" s="34"/>
      <c r="X73" s="34"/>
      <c r="Y73" s="34"/>
      <c r="Z73" s="34"/>
      <c r="AA73" s="34"/>
      <c r="AB73" s="34"/>
      <c r="AC73" s="34"/>
      <c r="AD73" s="34"/>
      <c r="AE73" s="34"/>
      <c r="AF73" s="34"/>
      <c r="AG73" s="34"/>
      <c r="AH73" s="34"/>
      <c r="AI73" s="34"/>
      <c r="AJ73" s="34"/>
      <c r="AK73" s="34"/>
      <c r="AL73" s="34"/>
      <c r="AM73" s="34"/>
      <c r="AN73" s="34" t="s">
        <v>305</v>
      </c>
      <c r="AO73" s="34" t="s">
        <v>305</v>
      </c>
      <c r="AP73" s="34"/>
      <c r="AQ73" s="34"/>
      <c r="AR73" s="34"/>
      <c r="AS73" s="34"/>
      <c r="AT73" s="34"/>
      <c r="AU73" s="34"/>
      <c r="AV73" s="34"/>
      <c r="AW73" s="34"/>
      <c r="AX73" s="34"/>
      <c r="AY73" s="34"/>
      <c r="AZ73" s="34"/>
      <c r="BA73" s="5"/>
    </row>
    <row r="74" spans="1:53" ht="15.75" thickBot="1" x14ac:dyDescent="0.3">
      <c r="A74" s="24" t="s">
        <v>306</v>
      </c>
      <c r="B74" s="24" t="s">
        <v>306</v>
      </c>
      <c r="C74" s="24" t="s">
        <v>306</v>
      </c>
      <c r="D74" s="24" t="s">
        <v>306</v>
      </c>
      <c r="E74" s="24" t="s">
        <v>306</v>
      </c>
      <c r="F74" s="24" t="s">
        <v>305</v>
      </c>
      <c r="G74" s="24" t="s">
        <v>305</v>
      </c>
      <c r="H74" s="24" t="s">
        <v>306</v>
      </c>
      <c r="I74" s="24" t="s">
        <v>306</v>
      </c>
      <c r="J74" s="5" t="s">
        <v>367</v>
      </c>
      <c r="K74" s="5" t="s">
        <v>106</v>
      </c>
      <c r="L74" s="5" t="s">
        <v>326</v>
      </c>
      <c r="M74" s="5" t="s">
        <v>350</v>
      </c>
      <c r="N74" s="5" t="s">
        <v>351</v>
      </c>
      <c r="O74" s="5">
        <v>1.609</v>
      </c>
      <c r="P74" s="91"/>
      <c r="Q74" s="91"/>
      <c r="R74" s="286">
        <v>0.16983999999999999</v>
      </c>
      <c r="S74" s="91"/>
      <c r="T74" s="286">
        <v>4.1459999999999997E-2</v>
      </c>
      <c r="U74" s="91"/>
      <c r="V74" s="99">
        <f t="shared" si="2"/>
        <v>0.21129999999999999</v>
      </c>
      <c r="W74" s="34"/>
      <c r="X74" s="34"/>
      <c r="Y74" s="34"/>
      <c r="Z74" s="34"/>
      <c r="AA74" s="34"/>
      <c r="AB74" s="34"/>
      <c r="AC74" s="34"/>
      <c r="AD74" s="34"/>
      <c r="AE74" s="34"/>
      <c r="AF74" s="34"/>
      <c r="AG74" s="34"/>
      <c r="AH74" s="34"/>
      <c r="AI74" s="34"/>
      <c r="AJ74" s="34"/>
      <c r="AK74" s="34"/>
      <c r="AL74" s="34"/>
      <c r="AM74" s="34"/>
      <c r="AN74" s="34" t="s">
        <v>305</v>
      </c>
      <c r="AO74" s="34" t="s">
        <v>305</v>
      </c>
      <c r="AP74" s="34"/>
      <c r="AQ74" s="34"/>
      <c r="AR74" s="34"/>
      <c r="AS74" s="34"/>
      <c r="AT74" s="34"/>
      <c r="AU74" s="34"/>
      <c r="AV74" s="34"/>
      <c r="AW74" s="34"/>
      <c r="AX74" s="34"/>
      <c r="AY74" s="34"/>
      <c r="AZ74" s="34"/>
      <c r="BA74" s="5"/>
    </row>
    <row r="75" spans="1:53" ht="15.75" thickBot="1" x14ac:dyDescent="0.3">
      <c r="A75" s="24" t="s">
        <v>306</v>
      </c>
      <c r="B75" s="24" t="s">
        <v>306</v>
      </c>
      <c r="C75" s="24" t="s">
        <v>306</v>
      </c>
      <c r="D75" s="24" t="s">
        <v>306</v>
      </c>
      <c r="E75" s="24" t="s">
        <v>306</v>
      </c>
      <c r="F75" s="24" t="s">
        <v>305</v>
      </c>
      <c r="G75" s="24" t="s">
        <v>305</v>
      </c>
      <c r="H75" s="24" t="s">
        <v>306</v>
      </c>
      <c r="I75" s="24" t="s">
        <v>306</v>
      </c>
      <c r="J75" s="5" t="s">
        <v>367</v>
      </c>
      <c r="K75" s="5" t="s">
        <v>364</v>
      </c>
      <c r="L75" s="5" t="s">
        <v>107</v>
      </c>
      <c r="M75" s="5" t="s">
        <v>350</v>
      </c>
      <c r="N75" s="5" t="s">
        <v>351</v>
      </c>
      <c r="O75" s="5">
        <v>1.609</v>
      </c>
      <c r="P75" s="91"/>
      <c r="Q75" s="91"/>
      <c r="R75" s="286">
        <v>0.14369999999999999</v>
      </c>
      <c r="S75" s="91"/>
      <c r="T75" s="286">
        <v>4.0149999999999998E-2</v>
      </c>
      <c r="U75" s="91"/>
      <c r="V75" s="99">
        <f t="shared" si="2"/>
        <v>0.18384999999999999</v>
      </c>
      <c r="W75" s="34"/>
      <c r="X75" s="34"/>
      <c r="Y75" s="34"/>
      <c r="Z75" s="34"/>
      <c r="AA75" s="34"/>
      <c r="AB75" s="34"/>
      <c r="AC75" s="34"/>
      <c r="AD75" s="34"/>
      <c r="AE75" s="34"/>
      <c r="AF75" s="34"/>
      <c r="AG75" s="34"/>
      <c r="AH75" s="34"/>
      <c r="AI75" s="34"/>
      <c r="AJ75" s="34"/>
      <c r="AK75" s="34"/>
      <c r="AL75" s="34"/>
      <c r="AM75" s="34"/>
      <c r="AN75" s="34" t="s">
        <v>305</v>
      </c>
      <c r="AO75" s="34" t="s">
        <v>305</v>
      </c>
      <c r="AP75" s="34"/>
      <c r="AQ75" s="34"/>
      <c r="AR75" s="34"/>
      <c r="AS75" s="34"/>
      <c r="AT75" s="34"/>
      <c r="AU75" s="34"/>
      <c r="AV75" s="34"/>
      <c r="AW75" s="34"/>
      <c r="AX75" s="34"/>
      <c r="AY75" s="34"/>
      <c r="AZ75" s="34"/>
      <c r="BA75" s="5"/>
    </row>
    <row r="76" spans="1:53" ht="15.75" thickBot="1" x14ac:dyDescent="0.3">
      <c r="A76" s="24" t="s">
        <v>306</v>
      </c>
      <c r="B76" s="24" t="s">
        <v>306</v>
      </c>
      <c r="C76" s="24" t="s">
        <v>306</v>
      </c>
      <c r="D76" s="24" t="s">
        <v>306</v>
      </c>
      <c r="E76" s="24" t="s">
        <v>306</v>
      </c>
      <c r="F76" s="24" t="s">
        <v>305</v>
      </c>
      <c r="G76" s="24" t="s">
        <v>305</v>
      </c>
      <c r="H76" s="24" t="s">
        <v>306</v>
      </c>
      <c r="I76" s="24" t="s">
        <v>306</v>
      </c>
      <c r="J76" s="5" t="s">
        <v>367</v>
      </c>
      <c r="K76" s="5" t="s">
        <v>365</v>
      </c>
      <c r="L76" s="5" t="s">
        <v>107</v>
      </c>
      <c r="M76" s="5" t="s">
        <v>350</v>
      </c>
      <c r="N76" s="5" t="s">
        <v>351</v>
      </c>
      <c r="O76" s="5">
        <v>1.609</v>
      </c>
      <c r="P76" s="91"/>
      <c r="Q76" s="91"/>
      <c r="R76" s="286">
        <v>0.17726</v>
      </c>
      <c r="S76" s="91"/>
      <c r="T76" s="286">
        <v>4.9570000000000003E-2</v>
      </c>
      <c r="U76" s="91"/>
      <c r="V76" s="99">
        <f t="shared" si="2"/>
        <v>0.22683</v>
      </c>
      <c r="W76" s="34"/>
      <c r="X76" s="34"/>
      <c r="Y76" s="34"/>
      <c r="Z76" s="34"/>
      <c r="AA76" s="34"/>
      <c r="AB76" s="34"/>
      <c r="AC76" s="34"/>
      <c r="AD76" s="34"/>
      <c r="AE76" s="34"/>
      <c r="AF76" s="34"/>
      <c r="AG76" s="34"/>
      <c r="AH76" s="34"/>
      <c r="AI76" s="34"/>
      <c r="AJ76" s="34"/>
      <c r="AK76" s="34"/>
      <c r="AL76" s="34"/>
      <c r="AM76" s="34"/>
      <c r="AN76" s="34" t="s">
        <v>305</v>
      </c>
      <c r="AO76" s="34" t="s">
        <v>305</v>
      </c>
      <c r="AP76" s="34"/>
      <c r="AQ76" s="34"/>
      <c r="AR76" s="34"/>
      <c r="AS76" s="34"/>
      <c r="AT76" s="34"/>
      <c r="AU76" s="34"/>
      <c r="AV76" s="34"/>
      <c r="AW76" s="34"/>
      <c r="AX76" s="34"/>
      <c r="AY76" s="34"/>
      <c r="AZ76" s="34"/>
      <c r="BA76" s="5"/>
    </row>
    <row r="77" spans="1:53" ht="15.75" thickBot="1" x14ac:dyDescent="0.3">
      <c r="A77" s="24" t="s">
        <v>306</v>
      </c>
      <c r="B77" s="24" t="s">
        <v>306</v>
      </c>
      <c r="C77" s="24" t="s">
        <v>306</v>
      </c>
      <c r="D77" s="24" t="s">
        <v>306</v>
      </c>
      <c r="E77" s="24" t="s">
        <v>306</v>
      </c>
      <c r="F77" s="24" t="s">
        <v>305</v>
      </c>
      <c r="G77" s="24" t="s">
        <v>305</v>
      </c>
      <c r="H77" s="24" t="s">
        <v>306</v>
      </c>
      <c r="I77" s="24" t="s">
        <v>306</v>
      </c>
      <c r="J77" s="5" t="s">
        <v>367</v>
      </c>
      <c r="K77" s="5" t="s">
        <v>366</v>
      </c>
      <c r="L77" s="5" t="s">
        <v>107</v>
      </c>
      <c r="M77" s="5" t="s">
        <v>350</v>
      </c>
      <c r="N77" s="5" t="s">
        <v>351</v>
      </c>
      <c r="O77" s="5">
        <v>1.609</v>
      </c>
      <c r="P77" s="91"/>
      <c r="Q77" s="91"/>
      <c r="R77" s="286">
        <v>0.26884999999999998</v>
      </c>
      <c r="S77" s="91"/>
      <c r="T77" s="286">
        <v>7.528E-2</v>
      </c>
      <c r="U77" s="91"/>
      <c r="V77" s="99">
        <f t="shared" si="2"/>
        <v>0.34412999999999999</v>
      </c>
      <c r="W77" s="34"/>
      <c r="X77" s="34"/>
      <c r="Y77" s="34"/>
      <c r="Z77" s="34"/>
      <c r="AA77" s="34"/>
      <c r="AB77" s="34"/>
      <c r="AC77" s="34"/>
      <c r="AD77" s="34"/>
      <c r="AE77" s="34"/>
      <c r="AF77" s="34"/>
      <c r="AG77" s="34"/>
      <c r="AH77" s="34"/>
      <c r="AI77" s="34"/>
      <c r="AJ77" s="34"/>
      <c r="AK77" s="34"/>
      <c r="AL77" s="34"/>
      <c r="AM77" s="34"/>
      <c r="AN77" s="34" t="s">
        <v>305</v>
      </c>
      <c r="AO77" s="34" t="s">
        <v>305</v>
      </c>
      <c r="AP77" s="34"/>
      <c r="AQ77" s="34"/>
      <c r="AR77" s="34"/>
      <c r="AS77" s="34"/>
      <c r="AT77" s="34"/>
      <c r="AU77" s="34"/>
      <c r="AV77" s="34"/>
      <c r="AW77" s="34"/>
      <c r="AX77" s="34"/>
      <c r="AY77" s="34"/>
      <c r="AZ77" s="34"/>
      <c r="BA77" s="5"/>
    </row>
    <row r="78" spans="1:53" ht="15.75" thickBot="1" x14ac:dyDescent="0.3">
      <c r="A78" s="24" t="s">
        <v>306</v>
      </c>
      <c r="B78" s="24" t="s">
        <v>306</v>
      </c>
      <c r="C78" s="24" t="s">
        <v>306</v>
      </c>
      <c r="D78" s="24" t="s">
        <v>306</v>
      </c>
      <c r="E78" s="24" t="s">
        <v>306</v>
      </c>
      <c r="F78" s="24" t="s">
        <v>305</v>
      </c>
      <c r="G78" s="24" t="s">
        <v>305</v>
      </c>
      <c r="H78" s="24" t="s">
        <v>306</v>
      </c>
      <c r="I78" s="24" t="s">
        <v>306</v>
      </c>
      <c r="J78" s="5" t="s">
        <v>367</v>
      </c>
      <c r="K78" s="5" t="s">
        <v>106</v>
      </c>
      <c r="L78" s="5" t="s">
        <v>107</v>
      </c>
      <c r="M78" s="5" t="s">
        <v>350</v>
      </c>
      <c r="N78" s="5" t="s">
        <v>351</v>
      </c>
      <c r="O78" s="5">
        <v>1.609</v>
      </c>
      <c r="P78" s="91"/>
      <c r="Q78" s="91"/>
      <c r="R78" s="286">
        <v>0.16450000000000001</v>
      </c>
      <c r="S78" s="91"/>
      <c r="T78" s="286">
        <v>4.5990000000000003E-2</v>
      </c>
      <c r="U78" s="91"/>
      <c r="V78" s="99">
        <f t="shared" si="2"/>
        <v>0.21049000000000001</v>
      </c>
      <c r="W78" s="34"/>
      <c r="X78" s="34"/>
      <c r="Y78" s="34"/>
      <c r="Z78" s="34"/>
      <c r="AA78" s="34"/>
      <c r="AB78" s="34"/>
      <c r="AC78" s="34"/>
      <c r="AD78" s="34"/>
      <c r="AE78" s="34"/>
      <c r="AF78" s="34"/>
      <c r="AG78" s="34"/>
      <c r="AH78" s="34"/>
      <c r="AI78" s="34"/>
      <c r="AJ78" s="34"/>
      <c r="AK78" s="34"/>
      <c r="AL78" s="34"/>
      <c r="AM78" s="34"/>
      <c r="AN78" s="34" t="s">
        <v>305</v>
      </c>
      <c r="AO78" s="34" t="s">
        <v>305</v>
      </c>
      <c r="AP78" s="34"/>
      <c r="AQ78" s="34"/>
      <c r="AR78" s="34"/>
      <c r="AS78" s="34"/>
      <c r="AT78" s="34"/>
      <c r="AU78" s="34"/>
      <c r="AV78" s="34"/>
      <c r="AW78" s="34"/>
      <c r="AX78" s="34"/>
      <c r="AY78" s="34"/>
      <c r="AZ78" s="34"/>
      <c r="BA78" s="5"/>
    </row>
    <row r="79" spans="1:53" ht="15.75" thickBot="1" x14ac:dyDescent="0.3">
      <c r="A79" s="24" t="s">
        <v>306</v>
      </c>
      <c r="B79" s="24" t="s">
        <v>306</v>
      </c>
      <c r="C79" s="24" t="s">
        <v>306</v>
      </c>
      <c r="D79" s="24" t="s">
        <v>306</v>
      </c>
      <c r="E79" s="24" t="s">
        <v>306</v>
      </c>
      <c r="F79" s="24" t="s">
        <v>305</v>
      </c>
      <c r="G79" s="24" t="s">
        <v>305</v>
      </c>
      <c r="H79" s="24" t="s">
        <v>306</v>
      </c>
      <c r="I79" s="24" t="s">
        <v>306</v>
      </c>
      <c r="J79" s="5" t="s">
        <v>367</v>
      </c>
      <c r="K79" s="5" t="s">
        <v>364</v>
      </c>
      <c r="L79" s="5" t="s">
        <v>360</v>
      </c>
      <c r="M79" s="5" t="s">
        <v>350</v>
      </c>
      <c r="N79" s="5" t="s">
        <v>351</v>
      </c>
      <c r="O79" s="5">
        <v>1.609</v>
      </c>
      <c r="P79" s="91"/>
      <c r="Q79" s="91"/>
      <c r="R79" s="286">
        <v>0.11274000000000001</v>
      </c>
      <c r="S79" s="91"/>
      <c r="T79" s="286">
        <v>3.0259999999999999E-2</v>
      </c>
      <c r="U79" s="91"/>
      <c r="V79" s="99">
        <f t="shared" si="2"/>
        <v>0.14300000000000002</v>
      </c>
      <c r="W79" s="34"/>
      <c r="X79" s="34"/>
      <c r="Y79" s="34"/>
      <c r="Z79" s="34"/>
      <c r="AA79" s="34"/>
      <c r="AB79" s="34"/>
      <c r="AC79" s="34"/>
      <c r="AD79" s="34"/>
      <c r="AE79" s="34"/>
      <c r="AF79" s="34"/>
      <c r="AG79" s="34"/>
      <c r="AH79" s="34"/>
      <c r="AI79" s="34"/>
      <c r="AJ79" s="34"/>
      <c r="AK79" s="34"/>
      <c r="AL79" s="34"/>
      <c r="AM79" s="34"/>
      <c r="AN79" s="34" t="s">
        <v>305</v>
      </c>
      <c r="AO79" s="34" t="s">
        <v>305</v>
      </c>
      <c r="AP79" s="34"/>
      <c r="AQ79" s="34"/>
      <c r="AR79" s="34"/>
      <c r="AS79" s="34"/>
      <c r="AT79" s="34"/>
      <c r="AU79" s="34"/>
      <c r="AV79" s="34"/>
      <c r="AW79" s="34"/>
      <c r="AX79" s="34"/>
      <c r="AY79" s="34"/>
      <c r="AZ79" s="34"/>
      <c r="BA79" s="5"/>
    </row>
    <row r="80" spans="1:53" ht="15.75" thickBot="1" x14ac:dyDescent="0.3">
      <c r="A80" s="24" t="s">
        <v>306</v>
      </c>
      <c r="B80" s="24" t="s">
        <v>306</v>
      </c>
      <c r="C80" s="24" t="s">
        <v>306</v>
      </c>
      <c r="D80" s="24" t="s">
        <v>306</v>
      </c>
      <c r="E80" s="24" t="s">
        <v>306</v>
      </c>
      <c r="F80" s="24" t="s">
        <v>305</v>
      </c>
      <c r="G80" s="24" t="s">
        <v>305</v>
      </c>
      <c r="H80" s="24" t="s">
        <v>306</v>
      </c>
      <c r="I80" s="24" t="s">
        <v>306</v>
      </c>
      <c r="J80" s="5" t="s">
        <v>367</v>
      </c>
      <c r="K80" s="5" t="s">
        <v>365</v>
      </c>
      <c r="L80" s="5" t="s">
        <v>360</v>
      </c>
      <c r="M80" s="5" t="s">
        <v>350</v>
      </c>
      <c r="N80" s="5" t="s">
        <v>351</v>
      </c>
      <c r="O80" s="5">
        <v>1.609</v>
      </c>
      <c r="P80" s="91"/>
      <c r="Q80" s="91"/>
      <c r="R80" s="286">
        <v>0.1149</v>
      </c>
      <c r="S80" s="91"/>
      <c r="T80" s="286">
        <v>2.998E-2</v>
      </c>
      <c r="U80" s="91"/>
      <c r="V80" s="99">
        <f t="shared" si="2"/>
        <v>0.14488000000000001</v>
      </c>
      <c r="W80" s="34"/>
      <c r="X80" s="34"/>
      <c r="Y80" s="34"/>
      <c r="Z80" s="34"/>
      <c r="AA80" s="34"/>
      <c r="AB80" s="34"/>
      <c r="AC80" s="34"/>
      <c r="AD80" s="34"/>
      <c r="AE80" s="34"/>
      <c r="AF80" s="34"/>
      <c r="AG80" s="34"/>
      <c r="AH80" s="34"/>
      <c r="AI80" s="34"/>
      <c r="AJ80" s="34"/>
      <c r="AK80" s="34"/>
      <c r="AL80" s="34"/>
      <c r="AM80" s="34"/>
      <c r="AN80" s="34" t="s">
        <v>305</v>
      </c>
      <c r="AO80" s="34" t="s">
        <v>305</v>
      </c>
      <c r="AP80" s="34"/>
      <c r="AQ80" s="34"/>
      <c r="AR80" s="34"/>
      <c r="AS80" s="34"/>
      <c r="AT80" s="34"/>
      <c r="AU80" s="34"/>
      <c r="AV80" s="34"/>
      <c r="AW80" s="34"/>
      <c r="AX80" s="34"/>
      <c r="AY80" s="34"/>
      <c r="AZ80" s="34"/>
      <c r="BA80" s="5"/>
    </row>
    <row r="81" spans="1:53" ht="15.75" thickBot="1" x14ac:dyDescent="0.3">
      <c r="A81" s="24" t="s">
        <v>306</v>
      </c>
      <c r="B81" s="24" t="s">
        <v>306</v>
      </c>
      <c r="C81" s="24" t="s">
        <v>306</v>
      </c>
      <c r="D81" s="24" t="s">
        <v>306</v>
      </c>
      <c r="E81" s="24" t="s">
        <v>306</v>
      </c>
      <c r="F81" s="24" t="s">
        <v>305</v>
      </c>
      <c r="G81" s="24" t="s">
        <v>305</v>
      </c>
      <c r="H81" s="24" t="s">
        <v>306</v>
      </c>
      <c r="I81" s="24" t="s">
        <v>306</v>
      </c>
      <c r="J81" s="5" t="s">
        <v>367</v>
      </c>
      <c r="K81" s="5" t="s">
        <v>366</v>
      </c>
      <c r="L81" s="5" t="s">
        <v>360</v>
      </c>
      <c r="M81" s="5" t="s">
        <v>350</v>
      </c>
      <c r="N81" s="5" t="s">
        <v>351</v>
      </c>
      <c r="O81" s="5">
        <v>1.609</v>
      </c>
      <c r="P81" s="91"/>
      <c r="Q81" s="91"/>
      <c r="R81" s="286">
        <v>0.15486</v>
      </c>
      <c r="S81" s="91"/>
      <c r="T81" s="286">
        <v>3.9609999999999999E-2</v>
      </c>
      <c r="U81" s="91"/>
      <c r="V81" s="99">
        <f t="shared" si="2"/>
        <v>0.19447</v>
      </c>
      <c r="W81" s="34"/>
      <c r="X81" s="34"/>
      <c r="Y81" s="34"/>
      <c r="Z81" s="34"/>
      <c r="AA81" s="34"/>
      <c r="AB81" s="34"/>
      <c r="AC81" s="34"/>
      <c r="AD81" s="34"/>
      <c r="AE81" s="34"/>
      <c r="AF81" s="34"/>
      <c r="AG81" s="34"/>
      <c r="AH81" s="34"/>
      <c r="AI81" s="34"/>
      <c r="AJ81" s="34"/>
      <c r="AK81" s="34"/>
      <c r="AL81" s="34"/>
      <c r="AM81" s="34"/>
      <c r="AN81" s="34" t="s">
        <v>305</v>
      </c>
      <c r="AO81" s="34" t="s">
        <v>305</v>
      </c>
      <c r="AP81" s="34"/>
      <c r="AQ81" s="34"/>
      <c r="AR81" s="34"/>
      <c r="AS81" s="34"/>
      <c r="AT81" s="34"/>
      <c r="AU81" s="34"/>
      <c r="AV81" s="34"/>
      <c r="AW81" s="34"/>
      <c r="AX81" s="34"/>
      <c r="AY81" s="34"/>
      <c r="AZ81" s="34"/>
      <c r="BA81" s="5"/>
    </row>
    <row r="82" spans="1:53" ht="15.75" thickBot="1" x14ac:dyDescent="0.3">
      <c r="A82" s="24" t="s">
        <v>306</v>
      </c>
      <c r="B82" s="24" t="s">
        <v>306</v>
      </c>
      <c r="C82" s="24" t="s">
        <v>306</v>
      </c>
      <c r="D82" s="24" t="s">
        <v>306</v>
      </c>
      <c r="E82" s="24" t="s">
        <v>306</v>
      </c>
      <c r="F82" s="24" t="s">
        <v>305</v>
      </c>
      <c r="G82" s="24" t="s">
        <v>305</v>
      </c>
      <c r="H82" s="24" t="s">
        <v>306</v>
      </c>
      <c r="I82" s="24" t="s">
        <v>306</v>
      </c>
      <c r="J82" s="5" t="s">
        <v>367</v>
      </c>
      <c r="K82" s="5" t="s">
        <v>106</v>
      </c>
      <c r="L82" s="5" t="s">
        <v>360</v>
      </c>
      <c r="M82" s="5" t="s">
        <v>350</v>
      </c>
      <c r="N82" s="5" t="s">
        <v>351</v>
      </c>
      <c r="O82" s="5">
        <v>1.609</v>
      </c>
      <c r="P82" s="91"/>
      <c r="Q82" s="91"/>
      <c r="R82" s="286">
        <v>0.12606999999999999</v>
      </c>
      <c r="S82" s="91"/>
      <c r="T82" s="286">
        <v>3.3149999999999999E-2</v>
      </c>
      <c r="U82" s="91"/>
      <c r="V82" s="99">
        <f t="shared" si="2"/>
        <v>0.15921999999999997</v>
      </c>
      <c r="W82" s="34"/>
      <c r="X82" s="34"/>
      <c r="Y82" s="34"/>
      <c r="Z82" s="34"/>
      <c r="AA82" s="34"/>
      <c r="AB82" s="34"/>
      <c r="AC82" s="34"/>
      <c r="AD82" s="34"/>
      <c r="AE82" s="34"/>
      <c r="AF82" s="34"/>
      <c r="AG82" s="34"/>
      <c r="AH82" s="34"/>
      <c r="AI82" s="34"/>
      <c r="AJ82" s="34"/>
      <c r="AK82" s="34"/>
      <c r="AL82" s="34"/>
      <c r="AM82" s="34"/>
      <c r="AN82" s="34" t="s">
        <v>305</v>
      </c>
      <c r="AO82" s="34" t="s">
        <v>305</v>
      </c>
      <c r="AP82" s="34"/>
      <c r="AQ82" s="34"/>
      <c r="AR82" s="34"/>
      <c r="AS82" s="34"/>
      <c r="AT82" s="34"/>
      <c r="AU82" s="34"/>
      <c r="AV82" s="34"/>
      <c r="AW82" s="34"/>
      <c r="AX82" s="34"/>
      <c r="AY82" s="34"/>
      <c r="AZ82" s="34"/>
      <c r="BA82" s="5"/>
    </row>
    <row r="83" spans="1:53" ht="26.25" thickBot="1" x14ac:dyDescent="0.3">
      <c r="A83" s="24" t="s">
        <v>306</v>
      </c>
      <c r="B83" s="24" t="s">
        <v>306</v>
      </c>
      <c r="C83" s="24" t="s">
        <v>306</v>
      </c>
      <c r="D83" s="24" t="s">
        <v>306</v>
      </c>
      <c r="E83" s="24" t="s">
        <v>306</v>
      </c>
      <c r="F83" s="24" t="s">
        <v>305</v>
      </c>
      <c r="G83" s="24" t="s">
        <v>305</v>
      </c>
      <c r="H83" s="24" t="s">
        <v>306</v>
      </c>
      <c r="I83" s="24" t="s">
        <v>306</v>
      </c>
      <c r="J83" s="5" t="s">
        <v>367</v>
      </c>
      <c r="K83" s="5" t="s">
        <v>364</v>
      </c>
      <c r="L83" s="5" t="s">
        <v>361</v>
      </c>
      <c r="M83" s="5" t="s">
        <v>350</v>
      </c>
      <c r="N83" s="5" t="s">
        <v>351</v>
      </c>
      <c r="O83" s="5">
        <v>1.609</v>
      </c>
      <c r="P83" s="91"/>
      <c r="Q83" s="91"/>
      <c r="R83" s="286">
        <v>5.8290000000000002E-2</v>
      </c>
      <c r="S83" s="286">
        <v>2.49E-3</v>
      </c>
      <c r="T83" s="286">
        <v>1.52E-2</v>
      </c>
      <c r="U83" s="91"/>
      <c r="V83" s="99">
        <f t="shared" si="2"/>
        <v>7.5980000000000006E-2</v>
      </c>
      <c r="W83" s="34"/>
      <c r="X83" s="34"/>
      <c r="Y83" s="34"/>
      <c r="Z83" s="34"/>
      <c r="AA83" s="34"/>
      <c r="AB83" s="34"/>
      <c r="AC83" s="34"/>
      <c r="AD83" s="34"/>
      <c r="AE83" s="34"/>
      <c r="AF83" s="34"/>
      <c r="AG83" s="34"/>
      <c r="AH83" s="34"/>
      <c r="AI83" s="34"/>
      <c r="AJ83" s="34"/>
      <c r="AK83" s="34"/>
      <c r="AL83" s="34"/>
      <c r="AM83" s="34"/>
      <c r="AN83" s="34" t="s">
        <v>305</v>
      </c>
      <c r="AO83" s="34" t="s">
        <v>305</v>
      </c>
      <c r="AP83" s="34"/>
      <c r="AQ83" s="34"/>
      <c r="AR83" s="34"/>
      <c r="AS83" s="34"/>
      <c r="AT83" s="34"/>
      <c r="AU83" s="34"/>
      <c r="AV83" s="34"/>
      <c r="AW83" s="34"/>
      <c r="AX83" s="34"/>
      <c r="AY83" s="34"/>
      <c r="AZ83" s="34"/>
      <c r="BA83" s="5"/>
    </row>
    <row r="84" spans="1:53" ht="26.25" thickBot="1" x14ac:dyDescent="0.3">
      <c r="A84" s="24" t="s">
        <v>306</v>
      </c>
      <c r="B84" s="24" t="s">
        <v>306</v>
      </c>
      <c r="C84" s="24" t="s">
        <v>306</v>
      </c>
      <c r="D84" s="24" t="s">
        <v>306</v>
      </c>
      <c r="E84" s="24" t="s">
        <v>306</v>
      </c>
      <c r="F84" s="24" t="s">
        <v>305</v>
      </c>
      <c r="G84" s="24" t="s">
        <v>305</v>
      </c>
      <c r="H84" s="24" t="s">
        <v>306</v>
      </c>
      <c r="I84" s="24" t="s">
        <v>306</v>
      </c>
      <c r="J84" s="5" t="s">
        <v>367</v>
      </c>
      <c r="K84" s="5" t="s">
        <v>365</v>
      </c>
      <c r="L84" s="5" t="s">
        <v>361</v>
      </c>
      <c r="M84" s="5" t="s">
        <v>350</v>
      </c>
      <c r="N84" s="5" t="s">
        <v>351</v>
      </c>
      <c r="O84" s="5">
        <v>1.609</v>
      </c>
      <c r="P84" s="91"/>
      <c r="Q84" s="91"/>
      <c r="R84" s="286">
        <v>9.2149999999999996E-2</v>
      </c>
      <c r="S84" s="286">
        <v>9.7000000000000005E-4</v>
      </c>
      <c r="T84" s="286">
        <v>2.5239999999999999E-2</v>
      </c>
      <c r="U84" s="91"/>
      <c r="V84" s="99">
        <f t="shared" si="2"/>
        <v>0.11835999999999999</v>
      </c>
      <c r="W84" s="34"/>
      <c r="X84" s="34"/>
      <c r="Y84" s="34"/>
      <c r="Z84" s="34"/>
      <c r="AA84" s="34"/>
      <c r="AB84" s="34"/>
      <c r="AC84" s="34"/>
      <c r="AD84" s="34"/>
      <c r="AE84" s="34"/>
      <c r="AF84" s="34"/>
      <c r="AG84" s="34"/>
      <c r="AH84" s="34"/>
      <c r="AI84" s="34"/>
      <c r="AJ84" s="34"/>
      <c r="AK84" s="34"/>
      <c r="AL84" s="34"/>
      <c r="AM84" s="34"/>
      <c r="AN84" s="34" t="s">
        <v>305</v>
      </c>
      <c r="AO84" s="34" t="s">
        <v>305</v>
      </c>
      <c r="AP84" s="34"/>
      <c r="AQ84" s="34"/>
      <c r="AR84" s="34"/>
      <c r="AS84" s="34"/>
      <c r="AT84" s="34"/>
      <c r="AU84" s="34"/>
      <c r="AV84" s="34"/>
      <c r="AW84" s="34"/>
      <c r="AX84" s="34"/>
      <c r="AY84" s="34"/>
      <c r="AZ84" s="34"/>
      <c r="BA84" s="5"/>
    </row>
    <row r="85" spans="1:53" ht="26.25" thickBot="1" x14ac:dyDescent="0.3">
      <c r="A85" s="24" t="s">
        <v>306</v>
      </c>
      <c r="B85" s="24" t="s">
        <v>306</v>
      </c>
      <c r="C85" s="24" t="s">
        <v>306</v>
      </c>
      <c r="D85" s="24" t="s">
        <v>306</v>
      </c>
      <c r="E85" s="24" t="s">
        <v>306</v>
      </c>
      <c r="F85" s="24" t="s">
        <v>305</v>
      </c>
      <c r="G85" s="24" t="s">
        <v>305</v>
      </c>
      <c r="H85" s="24" t="s">
        <v>306</v>
      </c>
      <c r="I85" s="24" t="s">
        <v>306</v>
      </c>
      <c r="J85" s="5" t="s">
        <v>367</v>
      </c>
      <c r="K85" s="5" t="s">
        <v>366</v>
      </c>
      <c r="L85" s="5" t="s">
        <v>361</v>
      </c>
      <c r="M85" s="5" t="s">
        <v>350</v>
      </c>
      <c r="N85" s="5" t="s">
        <v>351</v>
      </c>
      <c r="O85" s="5">
        <v>1.609</v>
      </c>
      <c r="P85" s="91"/>
      <c r="Q85" s="91"/>
      <c r="R85" s="286">
        <v>0.11792</v>
      </c>
      <c r="S85" s="286">
        <v>1.31E-3</v>
      </c>
      <c r="T85" s="286">
        <v>3.2210000000000003E-2</v>
      </c>
      <c r="U85" s="91"/>
      <c r="V85" s="99">
        <f t="shared" si="2"/>
        <v>0.15144000000000002</v>
      </c>
      <c r="W85" s="34"/>
      <c r="X85" s="34"/>
      <c r="Y85" s="34"/>
      <c r="Z85" s="34"/>
      <c r="AA85" s="34"/>
      <c r="AB85" s="34"/>
      <c r="AC85" s="34"/>
      <c r="AD85" s="34"/>
      <c r="AE85" s="34"/>
      <c r="AF85" s="34"/>
      <c r="AG85" s="34"/>
      <c r="AH85" s="34"/>
      <c r="AI85" s="34"/>
      <c r="AJ85" s="34"/>
      <c r="AK85" s="34"/>
      <c r="AL85" s="34"/>
      <c r="AM85" s="34"/>
      <c r="AN85" s="34" t="s">
        <v>305</v>
      </c>
      <c r="AO85" s="34" t="s">
        <v>305</v>
      </c>
      <c r="AP85" s="34"/>
      <c r="AQ85" s="34"/>
      <c r="AR85" s="34"/>
      <c r="AS85" s="34"/>
      <c r="AT85" s="34"/>
      <c r="AU85" s="34"/>
      <c r="AV85" s="34"/>
      <c r="AW85" s="34"/>
      <c r="AX85" s="34"/>
      <c r="AY85" s="34"/>
      <c r="AZ85" s="34"/>
      <c r="BA85" s="5"/>
    </row>
    <row r="86" spans="1:53" ht="26.25" thickBot="1" x14ac:dyDescent="0.3">
      <c r="A86" s="24" t="s">
        <v>306</v>
      </c>
      <c r="B86" s="24" t="s">
        <v>306</v>
      </c>
      <c r="C86" s="24" t="s">
        <v>306</v>
      </c>
      <c r="D86" s="24" t="s">
        <v>306</v>
      </c>
      <c r="E86" s="24" t="s">
        <v>306</v>
      </c>
      <c r="F86" s="24" t="s">
        <v>305</v>
      </c>
      <c r="G86" s="24" t="s">
        <v>305</v>
      </c>
      <c r="H86" s="24" t="s">
        <v>306</v>
      </c>
      <c r="I86" s="24" t="s">
        <v>306</v>
      </c>
      <c r="J86" s="5" t="s">
        <v>367</v>
      </c>
      <c r="K86" s="5" t="s">
        <v>106</v>
      </c>
      <c r="L86" s="5" t="s">
        <v>361</v>
      </c>
      <c r="M86" s="5" t="s">
        <v>350</v>
      </c>
      <c r="N86" s="5" t="s">
        <v>351</v>
      </c>
      <c r="O86" s="5">
        <v>1.609</v>
      </c>
      <c r="P86" s="91"/>
      <c r="Q86" s="91"/>
      <c r="R86" s="286">
        <v>0.10732</v>
      </c>
      <c r="S86" s="286">
        <v>1.2099999999999999E-3</v>
      </c>
      <c r="T86" s="286">
        <v>2.9340000000000001E-2</v>
      </c>
      <c r="U86" s="91"/>
      <c r="V86" s="99">
        <f t="shared" si="2"/>
        <v>0.13786999999999999</v>
      </c>
      <c r="W86" s="34"/>
      <c r="X86" s="34"/>
      <c r="Y86" s="34"/>
      <c r="Z86" s="34"/>
      <c r="AA86" s="34"/>
      <c r="AB86" s="34"/>
      <c r="AC86" s="34"/>
      <c r="AD86" s="34"/>
      <c r="AE86" s="34"/>
      <c r="AF86" s="34"/>
      <c r="AG86" s="34"/>
      <c r="AH86" s="34"/>
      <c r="AI86" s="34"/>
      <c r="AJ86" s="34"/>
      <c r="AK86" s="34"/>
      <c r="AL86" s="34"/>
      <c r="AM86" s="34"/>
      <c r="AN86" s="34" t="s">
        <v>305</v>
      </c>
      <c r="AO86" s="34" t="s">
        <v>305</v>
      </c>
      <c r="AP86" s="34"/>
      <c r="AQ86" s="34"/>
      <c r="AR86" s="34"/>
      <c r="AS86" s="34"/>
      <c r="AT86" s="34"/>
      <c r="AU86" s="34"/>
      <c r="AV86" s="34"/>
      <c r="AW86" s="34"/>
      <c r="AX86" s="34"/>
      <c r="AY86" s="34"/>
      <c r="AZ86" s="34"/>
      <c r="BA86" s="5"/>
    </row>
    <row r="87" spans="1:53" ht="26.25" thickBot="1" x14ac:dyDescent="0.3">
      <c r="A87" s="24" t="s">
        <v>306</v>
      </c>
      <c r="B87" s="24" t="s">
        <v>306</v>
      </c>
      <c r="C87" s="24" t="s">
        <v>306</v>
      </c>
      <c r="D87" s="24" t="s">
        <v>306</v>
      </c>
      <c r="E87" s="24" t="s">
        <v>306</v>
      </c>
      <c r="F87" s="24" t="s">
        <v>305</v>
      </c>
      <c r="G87" s="24" t="s">
        <v>305</v>
      </c>
      <c r="H87" s="24" t="s">
        <v>306</v>
      </c>
      <c r="I87" s="24" t="s">
        <v>306</v>
      </c>
      <c r="J87" s="5" t="s">
        <v>367</v>
      </c>
      <c r="K87" s="5" t="s">
        <v>364</v>
      </c>
      <c r="L87" s="5" t="s">
        <v>352</v>
      </c>
      <c r="M87" s="5" t="s">
        <v>350</v>
      </c>
      <c r="N87" s="5" t="s">
        <v>351</v>
      </c>
      <c r="O87" s="5">
        <v>1.609</v>
      </c>
      <c r="P87" s="91"/>
      <c r="Q87" s="91"/>
      <c r="R87" s="286">
        <v>3.9370000000000002E-2</v>
      </c>
      <c r="S87" s="286">
        <v>3.47E-3</v>
      </c>
      <c r="T87" s="286">
        <v>9.4800000000000006E-3</v>
      </c>
      <c r="U87" s="91"/>
      <c r="V87" s="99">
        <f t="shared" si="2"/>
        <v>5.2320000000000005E-2</v>
      </c>
      <c r="W87" s="34"/>
      <c r="X87" s="34"/>
      <c r="Y87" s="34"/>
      <c r="Z87" s="34"/>
      <c r="AA87" s="34"/>
      <c r="AB87" s="34"/>
      <c r="AC87" s="34"/>
      <c r="AD87" s="34"/>
      <c r="AE87" s="34"/>
      <c r="AF87" s="34"/>
      <c r="AG87" s="34"/>
      <c r="AH87" s="34"/>
      <c r="AI87" s="34"/>
      <c r="AJ87" s="34"/>
      <c r="AK87" s="34"/>
      <c r="AL87" s="34"/>
      <c r="AM87" s="34"/>
      <c r="AN87" s="34" t="s">
        <v>305</v>
      </c>
      <c r="AO87" s="34" t="s">
        <v>305</v>
      </c>
      <c r="AP87" s="34"/>
      <c r="AQ87" s="34"/>
      <c r="AR87" s="34"/>
      <c r="AS87" s="34"/>
      <c r="AT87" s="34"/>
      <c r="AU87" s="34"/>
      <c r="AV87" s="34"/>
      <c r="AW87" s="34"/>
      <c r="AX87" s="34"/>
      <c r="AY87" s="34"/>
      <c r="AZ87" s="34"/>
      <c r="BA87" s="5"/>
    </row>
    <row r="88" spans="1:53" ht="26.25" thickBot="1" x14ac:dyDescent="0.3">
      <c r="A88" s="24" t="s">
        <v>306</v>
      </c>
      <c r="B88" s="24" t="s">
        <v>306</v>
      </c>
      <c r="C88" s="24" t="s">
        <v>306</v>
      </c>
      <c r="D88" s="24" t="s">
        <v>306</v>
      </c>
      <c r="E88" s="24" t="s">
        <v>306</v>
      </c>
      <c r="F88" s="24" t="s">
        <v>305</v>
      </c>
      <c r="G88" s="24" t="s">
        <v>305</v>
      </c>
      <c r="H88" s="24" t="s">
        <v>306</v>
      </c>
      <c r="I88" s="24" t="s">
        <v>306</v>
      </c>
      <c r="J88" s="5" t="s">
        <v>367</v>
      </c>
      <c r="K88" s="5" t="s">
        <v>365</v>
      </c>
      <c r="L88" s="5" t="s">
        <v>352</v>
      </c>
      <c r="M88" s="5" t="s">
        <v>350</v>
      </c>
      <c r="N88" s="5" t="s">
        <v>351</v>
      </c>
      <c r="O88" s="5">
        <v>1.609</v>
      </c>
      <c r="P88" s="91"/>
      <c r="Q88" s="91"/>
      <c r="R88" s="286">
        <v>4.249E-2</v>
      </c>
      <c r="S88" s="286">
        <v>3.7599999999999999E-3</v>
      </c>
      <c r="T88" s="286">
        <v>1.022E-2</v>
      </c>
      <c r="U88" s="91"/>
      <c r="V88" s="99">
        <f t="shared" si="2"/>
        <v>5.6469999999999999E-2</v>
      </c>
      <c r="W88" s="34"/>
      <c r="X88" s="34"/>
      <c r="Y88" s="34"/>
      <c r="Z88" s="34"/>
      <c r="AA88" s="34"/>
      <c r="AB88" s="34"/>
      <c r="AC88" s="34"/>
      <c r="AD88" s="34"/>
      <c r="AE88" s="34"/>
      <c r="AF88" s="34"/>
      <c r="AG88" s="34"/>
      <c r="AH88" s="34"/>
      <c r="AI88" s="34"/>
      <c r="AJ88" s="34"/>
      <c r="AK88" s="34"/>
      <c r="AL88" s="34"/>
      <c r="AM88" s="34"/>
      <c r="AN88" s="34" t="s">
        <v>305</v>
      </c>
      <c r="AO88" s="34" t="s">
        <v>305</v>
      </c>
      <c r="AP88" s="34"/>
      <c r="AQ88" s="34"/>
      <c r="AR88" s="34"/>
      <c r="AS88" s="34"/>
      <c r="AT88" s="34"/>
      <c r="AU88" s="34"/>
      <c r="AV88" s="34"/>
      <c r="AW88" s="34"/>
      <c r="AX88" s="34"/>
      <c r="AY88" s="34"/>
      <c r="AZ88" s="34"/>
      <c r="BA88" s="5"/>
    </row>
    <row r="89" spans="1:53" ht="26.25" thickBot="1" x14ac:dyDescent="0.3">
      <c r="A89" s="24" t="s">
        <v>306</v>
      </c>
      <c r="B89" s="24" t="s">
        <v>306</v>
      </c>
      <c r="C89" s="24" t="s">
        <v>306</v>
      </c>
      <c r="D89" s="24" t="s">
        <v>306</v>
      </c>
      <c r="E89" s="24" t="s">
        <v>306</v>
      </c>
      <c r="F89" s="24" t="s">
        <v>305</v>
      </c>
      <c r="G89" s="24" t="s">
        <v>305</v>
      </c>
      <c r="H89" s="24" t="s">
        <v>306</v>
      </c>
      <c r="I89" s="24" t="s">
        <v>306</v>
      </c>
      <c r="J89" s="5" t="s">
        <v>367</v>
      </c>
      <c r="K89" s="5" t="s">
        <v>366</v>
      </c>
      <c r="L89" s="5" t="s">
        <v>352</v>
      </c>
      <c r="M89" s="5" t="s">
        <v>350</v>
      </c>
      <c r="N89" s="5" t="s">
        <v>351</v>
      </c>
      <c r="O89" s="5">
        <v>1.609</v>
      </c>
      <c r="P89" s="91"/>
      <c r="Q89" s="91"/>
      <c r="R89" s="286">
        <v>4.5249999999999999E-2</v>
      </c>
      <c r="S89" s="286">
        <v>4.0000000000000001E-3</v>
      </c>
      <c r="T89" s="286">
        <v>1.0880000000000001E-2</v>
      </c>
      <c r="U89" s="91"/>
      <c r="V89" s="99">
        <f t="shared" si="2"/>
        <v>6.0130000000000003E-2</v>
      </c>
      <c r="W89" s="34"/>
      <c r="X89" s="34"/>
      <c r="Y89" s="34"/>
      <c r="Z89" s="34"/>
      <c r="AA89" s="34"/>
      <c r="AB89" s="34"/>
      <c r="AC89" s="34"/>
      <c r="AD89" s="34"/>
      <c r="AE89" s="34"/>
      <c r="AF89" s="34"/>
      <c r="AG89" s="34"/>
      <c r="AH89" s="34"/>
      <c r="AI89" s="34"/>
      <c r="AJ89" s="34"/>
      <c r="AK89" s="34"/>
      <c r="AL89" s="34"/>
      <c r="AM89" s="34"/>
      <c r="AN89" s="34" t="s">
        <v>305</v>
      </c>
      <c r="AO89" s="34" t="s">
        <v>305</v>
      </c>
      <c r="AP89" s="34"/>
      <c r="AQ89" s="34"/>
      <c r="AR89" s="34"/>
      <c r="AS89" s="34"/>
      <c r="AT89" s="34"/>
      <c r="AU89" s="34"/>
      <c r="AV89" s="34"/>
      <c r="AW89" s="34"/>
      <c r="AX89" s="34"/>
      <c r="AY89" s="34"/>
      <c r="AZ89" s="34"/>
      <c r="BA89" s="5"/>
    </row>
    <row r="90" spans="1:53" ht="26.25" thickBot="1" x14ac:dyDescent="0.3">
      <c r="A90" s="24" t="s">
        <v>306</v>
      </c>
      <c r="B90" s="24" t="s">
        <v>306</v>
      </c>
      <c r="C90" s="24" t="s">
        <v>306</v>
      </c>
      <c r="D90" s="24" t="s">
        <v>306</v>
      </c>
      <c r="E90" s="24" t="s">
        <v>306</v>
      </c>
      <c r="F90" s="24" t="s">
        <v>305</v>
      </c>
      <c r="G90" s="24" t="s">
        <v>305</v>
      </c>
      <c r="H90" s="24" t="s">
        <v>306</v>
      </c>
      <c r="I90" s="24" t="s">
        <v>306</v>
      </c>
      <c r="J90" s="5" t="s">
        <v>367</v>
      </c>
      <c r="K90" s="5" t="s">
        <v>106</v>
      </c>
      <c r="L90" s="5" t="s">
        <v>352</v>
      </c>
      <c r="M90" s="5" t="s">
        <v>350</v>
      </c>
      <c r="N90" s="5" t="s">
        <v>351</v>
      </c>
      <c r="O90" s="5">
        <v>1.609</v>
      </c>
      <c r="P90" s="91"/>
      <c r="Q90" s="91"/>
      <c r="R90" s="286">
        <v>4.3589999999999997E-2</v>
      </c>
      <c r="S90" s="286">
        <v>3.8600000000000001E-3</v>
      </c>
      <c r="T90" s="286">
        <v>1.0489999999999999E-2</v>
      </c>
      <c r="U90" s="91"/>
      <c r="V90" s="99">
        <f t="shared" si="2"/>
        <v>5.7939999999999998E-2</v>
      </c>
      <c r="W90" s="34"/>
      <c r="X90" s="34"/>
      <c r="Y90" s="34"/>
      <c r="Z90" s="34"/>
      <c r="AA90" s="34"/>
      <c r="AB90" s="34"/>
      <c r="AC90" s="34"/>
      <c r="AD90" s="34"/>
      <c r="AE90" s="34"/>
      <c r="AF90" s="34"/>
      <c r="AG90" s="34"/>
      <c r="AH90" s="34"/>
      <c r="AI90" s="34"/>
      <c r="AJ90" s="34"/>
      <c r="AK90" s="34"/>
      <c r="AL90" s="34"/>
      <c r="AM90" s="34"/>
      <c r="AN90" s="34" t="s">
        <v>305</v>
      </c>
      <c r="AO90" s="34" t="s">
        <v>305</v>
      </c>
      <c r="AP90" s="34"/>
      <c r="AQ90" s="34"/>
      <c r="AR90" s="34"/>
      <c r="AS90" s="34"/>
      <c r="AT90" s="34"/>
      <c r="AU90" s="34"/>
      <c r="AV90" s="34"/>
      <c r="AW90" s="34"/>
      <c r="AX90" s="34"/>
      <c r="AY90" s="34"/>
      <c r="AZ90" s="34"/>
      <c r="BA90" s="5"/>
    </row>
    <row r="91" spans="1:53" ht="15.75" thickBot="1" x14ac:dyDescent="0.3">
      <c r="A91" s="24" t="s">
        <v>306</v>
      </c>
      <c r="B91" s="24" t="s">
        <v>306</v>
      </c>
      <c r="C91" s="24" t="s">
        <v>306</v>
      </c>
      <c r="D91" s="24" t="s">
        <v>306</v>
      </c>
      <c r="E91" s="24" t="s">
        <v>306</v>
      </c>
      <c r="F91" s="24" t="s">
        <v>305</v>
      </c>
      <c r="G91" s="24" t="s">
        <v>305</v>
      </c>
      <c r="H91" s="24" t="s">
        <v>306</v>
      </c>
      <c r="I91" s="24" t="s">
        <v>306</v>
      </c>
      <c r="J91" s="5" t="s">
        <v>367</v>
      </c>
      <c r="K91" s="5" t="s">
        <v>364</v>
      </c>
      <c r="L91" s="5" t="s">
        <v>362</v>
      </c>
      <c r="M91" s="5" t="s">
        <v>350</v>
      </c>
      <c r="N91" s="5" t="s">
        <v>351</v>
      </c>
      <c r="O91" s="5">
        <v>1.609</v>
      </c>
      <c r="P91" s="91"/>
      <c r="Q91" s="91"/>
      <c r="R91" s="286">
        <v>0.14262</v>
      </c>
      <c r="S91" s="91"/>
      <c r="T91" s="286">
        <v>3.8359999999999998E-2</v>
      </c>
      <c r="U91" s="91"/>
      <c r="V91" s="99">
        <f t="shared" si="2"/>
        <v>0.18098</v>
      </c>
      <c r="W91" s="34"/>
      <c r="X91" s="34"/>
      <c r="Y91" s="34"/>
      <c r="Z91" s="34"/>
      <c r="AA91" s="34"/>
      <c r="AB91" s="34"/>
      <c r="AC91" s="34"/>
      <c r="AD91" s="34"/>
      <c r="AE91" s="34"/>
      <c r="AF91" s="34"/>
      <c r="AG91" s="34"/>
      <c r="AH91" s="34"/>
      <c r="AI91" s="34"/>
      <c r="AJ91" s="34"/>
      <c r="AK91" s="34"/>
      <c r="AL91" s="34"/>
      <c r="AM91" s="34"/>
      <c r="AN91" s="34" t="s">
        <v>305</v>
      </c>
      <c r="AO91" s="34" t="s">
        <v>305</v>
      </c>
      <c r="AP91" s="34"/>
      <c r="AQ91" s="34"/>
      <c r="AR91" s="34"/>
      <c r="AS91" s="34"/>
      <c r="AT91" s="34"/>
      <c r="AU91" s="34"/>
      <c r="AV91" s="34"/>
      <c r="AW91" s="34"/>
      <c r="AX91" s="34"/>
      <c r="AY91" s="34"/>
      <c r="AZ91" s="34"/>
      <c r="BA91" s="5"/>
    </row>
    <row r="92" spans="1:53" ht="15.75" thickBot="1" x14ac:dyDescent="0.3">
      <c r="A92" s="24" t="s">
        <v>306</v>
      </c>
      <c r="B92" s="24" t="s">
        <v>306</v>
      </c>
      <c r="C92" s="24" t="s">
        <v>306</v>
      </c>
      <c r="D92" s="24" t="s">
        <v>306</v>
      </c>
      <c r="E92" s="24" t="s">
        <v>306</v>
      </c>
      <c r="F92" s="24" t="s">
        <v>305</v>
      </c>
      <c r="G92" s="24" t="s">
        <v>305</v>
      </c>
      <c r="H92" s="24" t="s">
        <v>306</v>
      </c>
      <c r="I92" s="24" t="s">
        <v>306</v>
      </c>
      <c r="J92" s="5" t="s">
        <v>367</v>
      </c>
      <c r="K92" s="5" t="s">
        <v>365</v>
      </c>
      <c r="L92" s="5" t="s">
        <v>362</v>
      </c>
      <c r="M92" s="5" t="s">
        <v>350</v>
      </c>
      <c r="N92" s="5" t="s">
        <v>351</v>
      </c>
      <c r="O92" s="5">
        <v>1.609</v>
      </c>
      <c r="P92" s="91"/>
      <c r="Q92" s="91"/>
      <c r="R92" s="286">
        <v>0.17255999999999999</v>
      </c>
      <c r="S92" s="91"/>
      <c r="T92" s="286">
        <v>4.5179999999999998E-2</v>
      </c>
      <c r="U92" s="91"/>
      <c r="V92" s="99">
        <f t="shared" si="2"/>
        <v>0.21773999999999999</v>
      </c>
      <c r="W92" s="34"/>
      <c r="X92" s="34"/>
      <c r="Y92" s="34"/>
      <c r="Z92" s="34"/>
      <c r="AA92" s="34"/>
      <c r="AB92" s="34"/>
      <c r="AC92" s="34"/>
      <c r="AD92" s="34"/>
      <c r="AE92" s="34"/>
      <c r="AF92" s="34"/>
      <c r="AG92" s="34"/>
      <c r="AH92" s="34"/>
      <c r="AI92" s="34"/>
      <c r="AJ92" s="34"/>
      <c r="AK92" s="34"/>
      <c r="AL92" s="34"/>
      <c r="AM92" s="34"/>
      <c r="AN92" s="34" t="s">
        <v>305</v>
      </c>
      <c r="AO92" s="34" t="s">
        <v>305</v>
      </c>
      <c r="AP92" s="34"/>
      <c r="AQ92" s="34"/>
      <c r="AR92" s="34"/>
      <c r="AS92" s="34"/>
      <c r="AT92" s="34"/>
      <c r="AU92" s="34"/>
      <c r="AV92" s="34"/>
      <c r="AW92" s="34"/>
      <c r="AX92" s="34"/>
      <c r="AY92" s="34"/>
      <c r="AZ92" s="34"/>
      <c r="BA92" s="5"/>
    </row>
    <row r="93" spans="1:53" ht="15.75" thickBot="1" x14ac:dyDescent="0.3">
      <c r="A93" s="24" t="s">
        <v>306</v>
      </c>
      <c r="B93" s="24" t="s">
        <v>306</v>
      </c>
      <c r="C93" s="24" t="s">
        <v>306</v>
      </c>
      <c r="D93" s="24" t="s">
        <v>306</v>
      </c>
      <c r="E93" s="24" t="s">
        <v>306</v>
      </c>
      <c r="F93" s="24" t="s">
        <v>305</v>
      </c>
      <c r="G93" s="24" t="s">
        <v>305</v>
      </c>
      <c r="H93" s="24" t="s">
        <v>306</v>
      </c>
      <c r="I93" s="24" t="s">
        <v>306</v>
      </c>
      <c r="J93" s="5" t="s">
        <v>367</v>
      </c>
      <c r="K93" s="5" t="s">
        <v>366</v>
      </c>
      <c r="L93" s="5" t="s">
        <v>362</v>
      </c>
      <c r="M93" s="5" t="s">
        <v>350</v>
      </c>
      <c r="N93" s="5" t="s">
        <v>351</v>
      </c>
      <c r="O93" s="5">
        <v>1.609</v>
      </c>
      <c r="P93" s="91"/>
      <c r="Q93" s="91"/>
      <c r="R93" s="286">
        <v>0.22472</v>
      </c>
      <c r="S93" s="91"/>
      <c r="T93" s="286">
        <v>5.7639999999999997E-2</v>
      </c>
      <c r="U93" s="91"/>
      <c r="V93" s="99">
        <f t="shared" si="2"/>
        <v>0.28236</v>
      </c>
      <c r="W93" s="34"/>
      <c r="X93" s="34"/>
      <c r="Y93" s="34"/>
      <c r="Z93" s="34"/>
      <c r="AA93" s="34"/>
      <c r="AB93" s="34"/>
      <c r="AC93" s="34"/>
      <c r="AD93" s="34"/>
      <c r="AE93" s="34"/>
      <c r="AF93" s="34"/>
      <c r="AG93" s="34"/>
      <c r="AH93" s="34"/>
      <c r="AI93" s="34"/>
      <c r="AJ93" s="34"/>
      <c r="AK93" s="34"/>
      <c r="AL93" s="34"/>
      <c r="AM93" s="34"/>
      <c r="AN93" s="34" t="s">
        <v>305</v>
      </c>
      <c r="AO93" s="34" t="s">
        <v>305</v>
      </c>
      <c r="AP93" s="34"/>
      <c r="AQ93" s="34"/>
      <c r="AR93" s="34"/>
      <c r="AS93" s="34"/>
      <c r="AT93" s="34"/>
      <c r="AU93" s="34"/>
      <c r="AV93" s="34"/>
      <c r="AW93" s="34"/>
      <c r="AX93" s="34"/>
      <c r="AY93" s="34"/>
      <c r="AZ93" s="34"/>
      <c r="BA93" s="5"/>
    </row>
    <row r="94" spans="1:53" ht="15.75" thickBot="1" x14ac:dyDescent="0.3">
      <c r="A94" s="24" t="s">
        <v>306</v>
      </c>
      <c r="B94" s="24" t="s">
        <v>306</v>
      </c>
      <c r="C94" s="24" t="s">
        <v>306</v>
      </c>
      <c r="D94" s="24" t="s">
        <v>306</v>
      </c>
      <c r="E94" s="24" t="s">
        <v>306</v>
      </c>
      <c r="F94" s="24" t="s">
        <v>305</v>
      </c>
      <c r="G94" s="24" t="s">
        <v>305</v>
      </c>
      <c r="H94" s="24" t="s">
        <v>306</v>
      </c>
      <c r="I94" s="24" t="s">
        <v>306</v>
      </c>
      <c r="J94" s="5" t="s">
        <v>367</v>
      </c>
      <c r="K94" s="5" t="s">
        <v>106</v>
      </c>
      <c r="L94" s="5" t="s">
        <v>362</v>
      </c>
      <c r="M94" s="5" t="s">
        <v>350</v>
      </c>
      <c r="N94" s="5" t="s">
        <v>351</v>
      </c>
      <c r="O94" s="5">
        <v>1.609</v>
      </c>
      <c r="P94" s="91"/>
      <c r="Q94" s="91"/>
      <c r="R94" s="286">
        <v>0.16691</v>
      </c>
      <c r="S94" s="91"/>
      <c r="T94" s="286">
        <v>4.3990000000000001E-2</v>
      </c>
      <c r="U94" s="91"/>
      <c r="V94" s="99">
        <f t="shared" si="2"/>
        <v>0.2109</v>
      </c>
      <c r="W94" s="34"/>
      <c r="X94" s="34"/>
      <c r="Y94" s="34"/>
      <c r="Z94" s="34"/>
      <c r="AA94" s="34"/>
      <c r="AB94" s="34"/>
      <c r="AC94" s="34"/>
      <c r="AD94" s="34"/>
      <c r="AE94" s="34"/>
      <c r="AF94" s="34"/>
      <c r="AG94" s="34"/>
      <c r="AH94" s="34"/>
      <c r="AI94" s="34"/>
      <c r="AJ94" s="34"/>
      <c r="AK94" s="34"/>
      <c r="AL94" s="34"/>
      <c r="AM94" s="34"/>
      <c r="AN94" s="34" t="s">
        <v>305</v>
      </c>
      <c r="AO94" s="34" t="s">
        <v>305</v>
      </c>
      <c r="AP94" s="34"/>
      <c r="AQ94" s="34"/>
      <c r="AR94" s="34"/>
      <c r="AS94" s="34"/>
      <c r="AT94" s="34"/>
      <c r="AU94" s="34"/>
      <c r="AV94" s="34"/>
      <c r="AW94" s="34"/>
      <c r="AX94" s="34"/>
      <c r="AY94" s="34"/>
      <c r="AZ94" s="34"/>
      <c r="BA94" s="5"/>
    </row>
    <row r="95" spans="1:53" ht="15.75" thickBot="1" x14ac:dyDescent="0.3">
      <c r="A95" s="24" t="s">
        <v>306</v>
      </c>
      <c r="B95" s="24" t="s">
        <v>306</v>
      </c>
      <c r="C95" s="24" t="s">
        <v>306</v>
      </c>
      <c r="D95" s="24" t="s">
        <v>306</v>
      </c>
      <c r="E95" s="24" t="s">
        <v>306</v>
      </c>
      <c r="F95" s="24" t="s">
        <v>305</v>
      </c>
      <c r="G95" s="24" t="s">
        <v>305</v>
      </c>
      <c r="H95" s="24" t="s">
        <v>306</v>
      </c>
      <c r="I95" s="24" t="s">
        <v>306</v>
      </c>
      <c r="J95" s="5" t="s">
        <v>105</v>
      </c>
      <c r="K95" s="5" t="s">
        <v>364</v>
      </c>
      <c r="L95" s="5" t="s">
        <v>107</v>
      </c>
      <c r="M95" s="5" t="s">
        <v>350</v>
      </c>
      <c r="N95" s="5" t="s">
        <v>351</v>
      </c>
      <c r="O95" s="5">
        <v>1.609</v>
      </c>
      <c r="P95" s="91"/>
      <c r="Q95" s="91"/>
      <c r="R95" s="286">
        <v>8.319E-2</v>
      </c>
      <c r="S95" s="91"/>
      <c r="T95" s="286">
        <v>2.1479999999999999E-2</v>
      </c>
      <c r="U95" s="91"/>
      <c r="V95" s="99">
        <f t="shared" si="2"/>
        <v>0.10467</v>
      </c>
      <c r="W95" s="34"/>
      <c r="X95" s="34"/>
      <c r="Y95" s="34"/>
      <c r="Z95" s="34"/>
      <c r="AA95" s="34"/>
      <c r="AB95" s="34"/>
      <c r="AC95" s="34"/>
      <c r="AD95" s="34"/>
      <c r="AE95" s="34"/>
      <c r="AF95" s="34"/>
      <c r="AG95" s="34"/>
      <c r="AH95" s="34"/>
      <c r="AI95" s="34"/>
      <c r="AJ95" s="34"/>
      <c r="AK95" s="34"/>
      <c r="AL95" s="34"/>
      <c r="AM95" s="34"/>
      <c r="AN95" s="34" t="s">
        <v>305</v>
      </c>
      <c r="AO95" s="34" t="s">
        <v>305</v>
      </c>
      <c r="AP95" s="34"/>
      <c r="AQ95" s="34"/>
      <c r="AR95" s="34"/>
      <c r="AS95" s="34"/>
      <c r="AT95" s="34"/>
      <c r="AU95" s="34"/>
      <c r="AV95" s="34"/>
      <c r="AW95" s="34"/>
      <c r="AX95" s="34"/>
      <c r="AY95" s="34"/>
      <c r="AZ95" s="34"/>
      <c r="BA95" s="5"/>
    </row>
    <row r="96" spans="1:53" ht="15.75" thickBot="1" x14ac:dyDescent="0.3">
      <c r="A96" s="24" t="s">
        <v>306</v>
      </c>
      <c r="B96" s="24" t="s">
        <v>306</v>
      </c>
      <c r="C96" s="24" t="s">
        <v>306</v>
      </c>
      <c r="D96" s="24" t="s">
        <v>306</v>
      </c>
      <c r="E96" s="24" t="s">
        <v>306</v>
      </c>
      <c r="F96" s="24" t="s">
        <v>305</v>
      </c>
      <c r="G96" s="24" t="s">
        <v>305</v>
      </c>
      <c r="H96" s="24" t="s">
        <v>306</v>
      </c>
      <c r="I96" s="24" t="s">
        <v>306</v>
      </c>
      <c r="J96" s="5" t="s">
        <v>105</v>
      </c>
      <c r="K96" s="5" t="s">
        <v>365</v>
      </c>
      <c r="L96" s="5" t="s">
        <v>107</v>
      </c>
      <c r="M96" s="5" t="s">
        <v>350</v>
      </c>
      <c r="N96" s="5" t="s">
        <v>351</v>
      </c>
      <c r="O96" s="5">
        <v>1.609</v>
      </c>
      <c r="P96" s="91"/>
      <c r="Q96" s="91"/>
      <c r="R96" s="286">
        <v>0.10106999999999999</v>
      </c>
      <c r="S96" s="91"/>
      <c r="T96" s="286">
        <v>2.6079999999999999E-2</v>
      </c>
      <c r="U96" s="91"/>
      <c r="V96" s="99">
        <f t="shared" si="2"/>
        <v>0.12714999999999999</v>
      </c>
      <c r="W96" s="34"/>
      <c r="X96" s="34"/>
      <c r="Y96" s="34"/>
      <c r="Z96" s="34"/>
      <c r="AA96" s="34"/>
      <c r="AB96" s="34"/>
      <c r="AC96" s="34"/>
      <c r="AD96" s="34"/>
      <c r="AE96" s="34"/>
      <c r="AF96" s="34"/>
      <c r="AG96" s="34"/>
      <c r="AH96" s="34"/>
      <c r="AI96" s="34"/>
      <c r="AJ96" s="34"/>
      <c r="AK96" s="34"/>
      <c r="AL96" s="34"/>
      <c r="AM96" s="34"/>
      <c r="AN96" s="34" t="s">
        <v>305</v>
      </c>
      <c r="AO96" s="34" t="s">
        <v>305</v>
      </c>
      <c r="AP96" s="34"/>
      <c r="AQ96" s="34"/>
      <c r="AR96" s="34"/>
      <c r="AS96" s="34"/>
      <c r="AT96" s="34"/>
      <c r="AU96" s="34"/>
      <c r="AV96" s="34"/>
      <c r="AW96" s="34"/>
      <c r="AX96" s="34"/>
      <c r="AY96" s="34"/>
      <c r="AZ96" s="34"/>
      <c r="BA96" s="5"/>
    </row>
    <row r="97" spans="1:53" ht="15.75" thickBot="1" x14ac:dyDescent="0.3">
      <c r="A97" s="24" t="s">
        <v>306</v>
      </c>
      <c r="B97" s="24" t="s">
        <v>306</v>
      </c>
      <c r="C97" s="24" t="s">
        <v>306</v>
      </c>
      <c r="D97" s="24" t="s">
        <v>306</v>
      </c>
      <c r="E97" s="24" t="s">
        <v>306</v>
      </c>
      <c r="F97" s="24" t="s">
        <v>305</v>
      </c>
      <c r="G97" s="24" t="s">
        <v>305</v>
      </c>
      <c r="H97" s="24" t="s">
        <v>306</v>
      </c>
      <c r="I97" s="24" t="s">
        <v>306</v>
      </c>
      <c r="J97" s="5" t="s">
        <v>105</v>
      </c>
      <c r="K97" s="5" t="s">
        <v>366</v>
      </c>
      <c r="L97" s="5" t="s">
        <v>107</v>
      </c>
      <c r="M97" s="5" t="s">
        <v>350</v>
      </c>
      <c r="N97" s="5" t="s">
        <v>351</v>
      </c>
      <c r="O97" s="5">
        <v>1.609</v>
      </c>
      <c r="P97" s="91"/>
      <c r="Q97" s="91"/>
      <c r="R97" s="286">
        <v>0.13252</v>
      </c>
      <c r="S97" s="91"/>
      <c r="T97" s="286">
        <v>3.4689999999999999E-2</v>
      </c>
      <c r="U97" s="91"/>
      <c r="V97" s="99">
        <f t="shared" si="2"/>
        <v>0.16721</v>
      </c>
      <c r="W97" s="34"/>
      <c r="X97" s="34"/>
      <c r="Y97" s="34"/>
      <c r="Z97" s="34"/>
      <c r="AA97" s="34"/>
      <c r="AB97" s="34"/>
      <c r="AC97" s="34"/>
      <c r="AD97" s="34"/>
      <c r="AE97" s="34"/>
      <c r="AF97" s="34"/>
      <c r="AG97" s="34"/>
      <c r="AH97" s="34"/>
      <c r="AI97" s="34"/>
      <c r="AJ97" s="34"/>
      <c r="AK97" s="34"/>
      <c r="AL97" s="34"/>
      <c r="AM97" s="34"/>
      <c r="AN97" s="34" t="s">
        <v>305</v>
      </c>
      <c r="AO97" s="34" t="s">
        <v>305</v>
      </c>
      <c r="AP97" s="34"/>
      <c r="AQ97" s="34"/>
      <c r="AR97" s="34"/>
      <c r="AS97" s="34"/>
      <c r="AT97" s="34"/>
      <c r="AU97" s="34"/>
      <c r="AV97" s="34"/>
      <c r="AW97" s="34"/>
      <c r="AX97" s="34"/>
      <c r="AY97" s="34"/>
      <c r="AZ97" s="34"/>
      <c r="BA97" s="5"/>
    </row>
    <row r="98" spans="1:53" ht="15.75" thickBot="1" x14ac:dyDescent="0.3">
      <c r="A98" s="24" t="s">
        <v>306</v>
      </c>
      <c r="B98" s="24" t="s">
        <v>306</v>
      </c>
      <c r="C98" s="24" t="s">
        <v>306</v>
      </c>
      <c r="D98" s="24" t="s">
        <v>306</v>
      </c>
      <c r="E98" s="24" t="s">
        <v>306</v>
      </c>
      <c r="F98" s="24" t="s">
        <v>305</v>
      </c>
      <c r="G98" s="24" t="s">
        <v>305</v>
      </c>
      <c r="H98" s="24" t="s">
        <v>306</v>
      </c>
      <c r="I98" s="24" t="s">
        <v>306</v>
      </c>
      <c r="J98" s="5" t="s">
        <v>105</v>
      </c>
      <c r="K98" s="5" t="s">
        <v>106</v>
      </c>
      <c r="L98" s="5" t="s">
        <v>107</v>
      </c>
      <c r="M98" s="5" t="s">
        <v>350</v>
      </c>
      <c r="N98" s="5" t="s">
        <v>351</v>
      </c>
      <c r="O98" s="5">
        <v>1.609</v>
      </c>
      <c r="P98" s="91"/>
      <c r="Q98" s="91"/>
      <c r="R98" s="286">
        <v>0.11366999999999999</v>
      </c>
      <c r="S98" s="91"/>
      <c r="T98" s="286">
        <v>2.9559999999999999E-2</v>
      </c>
      <c r="U98" s="91"/>
      <c r="V98" s="99">
        <f t="shared" si="2"/>
        <v>0.14323</v>
      </c>
      <c r="W98" s="34"/>
      <c r="X98" s="34"/>
      <c r="Y98" s="34"/>
      <c r="Z98" s="34"/>
      <c r="AA98" s="34"/>
      <c r="AB98" s="34"/>
      <c r="AC98" s="34"/>
      <c r="AD98" s="34"/>
      <c r="AE98" s="34"/>
      <c r="AF98" s="34"/>
      <c r="AG98" s="34"/>
      <c r="AH98" s="34"/>
      <c r="AI98" s="34"/>
      <c r="AJ98" s="34"/>
      <c r="AK98" s="34"/>
      <c r="AL98" s="34"/>
      <c r="AM98" s="34"/>
      <c r="AN98" s="34" t="s">
        <v>305</v>
      </c>
      <c r="AO98" s="34" t="s">
        <v>305</v>
      </c>
      <c r="AP98" s="34"/>
      <c r="AQ98" s="34"/>
      <c r="AR98" s="34"/>
      <c r="AS98" s="34"/>
      <c r="AT98" s="34"/>
      <c r="AU98" s="34"/>
      <c r="AV98" s="34"/>
      <c r="AW98" s="34"/>
      <c r="AX98" s="34"/>
      <c r="AY98" s="34"/>
      <c r="AZ98" s="34"/>
      <c r="BA98" s="5"/>
    </row>
    <row r="99" spans="1:53" ht="26.25" thickBot="1" x14ac:dyDescent="0.3">
      <c r="A99" s="24" t="s">
        <v>306</v>
      </c>
      <c r="B99" s="24" t="s">
        <v>306</v>
      </c>
      <c r="C99" s="24" t="s">
        <v>306</v>
      </c>
      <c r="D99" s="24" t="s">
        <v>306</v>
      </c>
      <c r="E99" s="24" t="s">
        <v>306</v>
      </c>
      <c r="F99" s="24" t="s">
        <v>305</v>
      </c>
      <c r="G99" s="24" t="s">
        <v>305</v>
      </c>
      <c r="H99" s="24" t="s">
        <v>306</v>
      </c>
      <c r="I99" s="24" t="s">
        <v>306</v>
      </c>
      <c r="J99" s="5" t="s">
        <v>368</v>
      </c>
      <c r="K99" s="5" t="s">
        <v>369</v>
      </c>
      <c r="L99" s="5" t="s">
        <v>370</v>
      </c>
      <c r="M99" s="5" t="s">
        <v>371</v>
      </c>
      <c r="N99" s="5" t="s">
        <v>372</v>
      </c>
      <c r="O99" s="5">
        <v>1.609</v>
      </c>
      <c r="P99" s="91"/>
      <c r="Q99" s="91"/>
      <c r="R99" s="286">
        <v>0.20805000000000001</v>
      </c>
      <c r="S99" s="91"/>
      <c r="T99" s="286">
        <v>5.176E-2</v>
      </c>
      <c r="U99" s="91"/>
      <c r="V99" s="99">
        <f t="shared" ref="V99:V116" si="3">SUM(P99:U99)</f>
        <v>0.25980999999999999</v>
      </c>
      <c r="W99" s="34"/>
      <c r="X99" s="34"/>
      <c r="Y99" s="34"/>
      <c r="Z99" s="34"/>
      <c r="AA99" s="34"/>
      <c r="AB99" s="34"/>
      <c r="AC99" s="34"/>
      <c r="AD99" s="34"/>
      <c r="AE99" s="34"/>
      <c r="AF99" s="34"/>
      <c r="AG99" s="34"/>
      <c r="AH99" s="34"/>
      <c r="AI99" s="34"/>
      <c r="AJ99" s="34"/>
      <c r="AK99" s="34"/>
      <c r="AL99" s="34"/>
      <c r="AM99" s="34"/>
      <c r="AN99" s="34" t="s">
        <v>305</v>
      </c>
      <c r="AO99" s="34" t="s">
        <v>305</v>
      </c>
      <c r="AP99" s="34"/>
      <c r="AQ99" s="34"/>
      <c r="AR99" s="34"/>
      <c r="AS99" s="34"/>
      <c r="AT99" s="34"/>
      <c r="AU99" s="34"/>
      <c r="AV99" s="34"/>
      <c r="AW99" s="34"/>
      <c r="AX99" s="34"/>
      <c r="AY99" s="34"/>
      <c r="AZ99" s="34"/>
      <c r="BA99" s="5"/>
    </row>
    <row r="100" spans="1:53" ht="26.25" thickBot="1" x14ac:dyDescent="0.3">
      <c r="A100" s="24" t="s">
        <v>306</v>
      </c>
      <c r="B100" s="24" t="s">
        <v>306</v>
      </c>
      <c r="C100" s="24" t="s">
        <v>306</v>
      </c>
      <c r="D100" s="24" t="s">
        <v>306</v>
      </c>
      <c r="E100" s="24" t="s">
        <v>306</v>
      </c>
      <c r="F100" s="24" t="s">
        <v>305</v>
      </c>
      <c r="G100" s="24" t="s">
        <v>305</v>
      </c>
      <c r="H100" s="24" t="s">
        <v>306</v>
      </c>
      <c r="I100" s="24" t="s">
        <v>306</v>
      </c>
      <c r="J100" s="5" t="s">
        <v>368</v>
      </c>
      <c r="K100" s="5" t="s">
        <v>369</v>
      </c>
      <c r="L100" s="5" t="s">
        <v>373</v>
      </c>
      <c r="M100" s="5" t="s">
        <v>371</v>
      </c>
      <c r="N100" s="5" t="s">
        <v>372</v>
      </c>
      <c r="O100" s="5">
        <v>1.609</v>
      </c>
      <c r="P100" s="91"/>
      <c r="Q100" s="91"/>
      <c r="R100" s="286">
        <v>0.30603000000000002</v>
      </c>
      <c r="S100" s="91"/>
      <c r="T100" s="286">
        <v>7.6340000000000005E-2</v>
      </c>
      <c r="U100" s="91"/>
      <c r="V100" s="99">
        <f t="shared" si="3"/>
        <v>0.38237000000000004</v>
      </c>
      <c r="W100" s="34"/>
      <c r="X100" s="34"/>
      <c r="Y100" s="34"/>
      <c r="Z100" s="34"/>
      <c r="AA100" s="34"/>
      <c r="AB100" s="34"/>
      <c r="AC100" s="34"/>
      <c r="AD100" s="34"/>
      <c r="AE100" s="34"/>
      <c r="AF100" s="34"/>
      <c r="AG100" s="34"/>
      <c r="AH100" s="34"/>
      <c r="AI100" s="34"/>
      <c r="AJ100" s="34"/>
      <c r="AK100" s="34"/>
      <c r="AL100" s="34"/>
      <c r="AM100" s="34"/>
      <c r="AN100" s="34" t="s">
        <v>305</v>
      </c>
      <c r="AO100" s="34" t="s">
        <v>305</v>
      </c>
      <c r="AP100" s="34"/>
      <c r="AQ100" s="34"/>
      <c r="AR100" s="34"/>
      <c r="AS100" s="34"/>
      <c r="AT100" s="34"/>
      <c r="AU100" s="34"/>
      <c r="AV100" s="34"/>
      <c r="AW100" s="34"/>
      <c r="AX100" s="34"/>
      <c r="AY100" s="34"/>
      <c r="AZ100" s="34"/>
      <c r="BA100" s="5"/>
    </row>
    <row r="101" spans="1:53" ht="26.25" thickBot="1" x14ac:dyDescent="0.3">
      <c r="A101" s="24" t="s">
        <v>306</v>
      </c>
      <c r="B101" s="24" t="s">
        <v>306</v>
      </c>
      <c r="C101" s="24" t="s">
        <v>306</v>
      </c>
      <c r="D101" s="24" t="s">
        <v>306</v>
      </c>
      <c r="E101" s="24" t="s">
        <v>306</v>
      </c>
      <c r="F101" s="24" t="s">
        <v>305</v>
      </c>
      <c r="G101" s="24" t="s">
        <v>305</v>
      </c>
      <c r="H101" s="24" t="s">
        <v>306</v>
      </c>
      <c r="I101" s="24" t="s">
        <v>306</v>
      </c>
      <c r="J101" s="5" t="s">
        <v>368</v>
      </c>
      <c r="K101" s="5" t="s">
        <v>374</v>
      </c>
      <c r="L101" s="5" t="s">
        <v>375</v>
      </c>
      <c r="M101" s="5" t="s">
        <v>371</v>
      </c>
      <c r="N101" s="5" t="s">
        <v>372</v>
      </c>
      <c r="O101" s="5">
        <v>1.609</v>
      </c>
      <c r="P101" s="91"/>
      <c r="Q101" s="91"/>
      <c r="R101" s="286">
        <v>0.10846</v>
      </c>
      <c r="S101" s="91"/>
      <c r="T101" s="286">
        <v>2.649E-2</v>
      </c>
      <c r="U101" s="91"/>
      <c r="V101" s="99">
        <f t="shared" si="3"/>
        <v>0.13495000000000001</v>
      </c>
      <c r="W101" s="34"/>
      <c r="X101" s="34"/>
      <c r="Y101" s="34"/>
      <c r="Z101" s="34"/>
      <c r="AA101" s="34"/>
      <c r="AB101" s="34"/>
      <c r="AC101" s="34"/>
      <c r="AD101" s="34"/>
      <c r="AE101" s="34"/>
      <c r="AF101" s="34"/>
      <c r="AG101" s="34"/>
      <c r="AH101" s="34"/>
      <c r="AI101" s="34"/>
      <c r="AJ101" s="34"/>
      <c r="AK101" s="34"/>
      <c r="AL101" s="34"/>
      <c r="AM101" s="34"/>
      <c r="AN101" s="34" t="s">
        <v>305</v>
      </c>
      <c r="AO101" s="34" t="s">
        <v>305</v>
      </c>
      <c r="AP101" s="34"/>
      <c r="AQ101" s="34"/>
      <c r="AR101" s="34"/>
      <c r="AS101" s="34"/>
      <c r="AT101" s="34"/>
      <c r="AU101" s="34"/>
      <c r="AV101" s="34"/>
      <c r="AW101" s="34"/>
      <c r="AX101" s="34"/>
      <c r="AY101" s="34"/>
      <c r="AZ101" s="34"/>
      <c r="BA101" s="5"/>
    </row>
    <row r="102" spans="1:53" ht="26.25" thickBot="1" x14ac:dyDescent="0.3">
      <c r="A102" s="24" t="s">
        <v>306</v>
      </c>
      <c r="B102" s="24" t="s">
        <v>306</v>
      </c>
      <c r="C102" s="24" t="s">
        <v>306</v>
      </c>
      <c r="D102" s="24" t="s">
        <v>306</v>
      </c>
      <c r="E102" s="24" t="s">
        <v>306</v>
      </c>
      <c r="F102" s="24" t="s">
        <v>305</v>
      </c>
      <c r="G102" s="24" t="s">
        <v>305</v>
      </c>
      <c r="H102" s="24" t="s">
        <v>306</v>
      </c>
      <c r="I102" s="24" t="s">
        <v>306</v>
      </c>
      <c r="J102" s="5" t="s">
        <v>368</v>
      </c>
      <c r="K102" s="5" t="s">
        <v>374</v>
      </c>
      <c r="L102" s="5" t="s">
        <v>376</v>
      </c>
      <c r="M102" s="5" t="s">
        <v>371</v>
      </c>
      <c r="N102" s="5" t="s">
        <v>372</v>
      </c>
      <c r="O102" s="5">
        <v>1.609</v>
      </c>
      <c r="P102" s="91"/>
      <c r="Q102" s="91"/>
      <c r="R102" s="286">
        <v>2.717E-2</v>
      </c>
      <c r="S102" s="91"/>
      <c r="T102" s="286">
        <v>6.5599999999999999E-3</v>
      </c>
      <c r="U102" s="91"/>
      <c r="V102" s="99">
        <f t="shared" si="3"/>
        <v>3.3729999999999996E-2</v>
      </c>
      <c r="W102" s="34"/>
      <c r="X102" s="34"/>
      <c r="Y102" s="34"/>
      <c r="Z102" s="34"/>
      <c r="AA102" s="34"/>
      <c r="AB102" s="34"/>
      <c r="AC102" s="34"/>
      <c r="AD102" s="34"/>
      <c r="AE102" s="34"/>
      <c r="AF102" s="34"/>
      <c r="AG102" s="34"/>
      <c r="AH102" s="34"/>
      <c r="AI102" s="34"/>
      <c r="AJ102" s="34"/>
      <c r="AK102" s="34"/>
      <c r="AL102" s="34"/>
      <c r="AM102" s="34"/>
      <c r="AN102" s="34" t="s">
        <v>305</v>
      </c>
      <c r="AO102" s="34" t="s">
        <v>305</v>
      </c>
      <c r="AP102" s="34"/>
      <c r="AQ102" s="34"/>
      <c r="AR102" s="34"/>
      <c r="AS102" s="34"/>
      <c r="AT102" s="34"/>
      <c r="AU102" s="34"/>
      <c r="AV102" s="34"/>
      <c r="AW102" s="34"/>
      <c r="AX102" s="34"/>
      <c r="AY102" s="34"/>
      <c r="AZ102" s="34"/>
      <c r="BA102" s="5"/>
    </row>
    <row r="103" spans="1:53" ht="26.25" thickBot="1" x14ac:dyDescent="0.3">
      <c r="A103" s="24" t="s">
        <v>306</v>
      </c>
      <c r="B103" s="24" t="s">
        <v>306</v>
      </c>
      <c r="C103" s="24" t="s">
        <v>306</v>
      </c>
      <c r="D103" s="24" t="s">
        <v>306</v>
      </c>
      <c r="E103" s="24" t="s">
        <v>306</v>
      </c>
      <c r="F103" s="24" t="s">
        <v>305</v>
      </c>
      <c r="G103" s="24" t="s">
        <v>305</v>
      </c>
      <c r="H103" s="24" t="s">
        <v>306</v>
      </c>
      <c r="I103" s="24" t="s">
        <v>306</v>
      </c>
      <c r="J103" s="5" t="s">
        <v>368</v>
      </c>
      <c r="K103" s="5" t="s">
        <v>377</v>
      </c>
      <c r="L103" s="5" t="s">
        <v>378</v>
      </c>
      <c r="M103" s="5" t="s">
        <v>371</v>
      </c>
      <c r="N103" s="5" t="s">
        <v>372</v>
      </c>
      <c r="O103" s="5">
        <v>1.609</v>
      </c>
      <c r="P103" s="91"/>
      <c r="Q103" s="91"/>
      <c r="R103" s="286">
        <v>3.5459999999999998E-2</v>
      </c>
      <c r="S103" s="91"/>
      <c r="T103" s="286">
        <v>8.9700000000000005E-3</v>
      </c>
      <c r="U103" s="91"/>
      <c r="V103" s="99">
        <f t="shared" si="3"/>
        <v>4.4429999999999997E-2</v>
      </c>
      <c r="W103" s="34"/>
      <c r="X103" s="34"/>
      <c r="Y103" s="34"/>
      <c r="Z103" s="34"/>
      <c r="AA103" s="34"/>
      <c r="AB103" s="34"/>
      <c r="AC103" s="34"/>
      <c r="AD103" s="34"/>
      <c r="AE103" s="34"/>
      <c r="AF103" s="34"/>
      <c r="AG103" s="34"/>
      <c r="AH103" s="34"/>
      <c r="AI103" s="34"/>
      <c r="AJ103" s="34"/>
      <c r="AK103" s="34"/>
      <c r="AL103" s="34"/>
      <c r="AM103" s="34"/>
      <c r="AN103" s="34" t="s">
        <v>305</v>
      </c>
      <c r="AO103" s="34" t="s">
        <v>305</v>
      </c>
      <c r="AP103" s="34"/>
      <c r="AQ103" s="34"/>
      <c r="AR103" s="34"/>
      <c r="AS103" s="34"/>
      <c r="AT103" s="34"/>
      <c r="AU103" s="34"/>
      <c r="AV103" s="34"/>
      <c r="AW103" s="34"/>
      <c r="AX103" s="34"/>
      <c r="AY103" s="34"/>
      <c r="AZ103" s="34"/>
      <c r="BA103" s="5"/>
    </row>
    <row r="104" spans="1:53" ht="26.25" thickBot="1" x14ac:dyDescent="0.3">
      <c r="A104" s="24" t="s">
        <v>306</v>
      </c>
      <c r="B104" s="24" t="s">
        <v>306</v>
      </c>
      <c r="C104" s="24" t="s">
        <v>306</v>
      </c>
      <c r="D104" s="24" t="s">
        <v>306</v>
      </c>
      <c r="E104" s="24" t="s">
        <v>306</v>
      </c>
      <c r="F104" s="24" t="s">
        <v>305</v>
      </c>
      <c r="G104" s="24" t="s">
        <v>305</v>
      </c>
      <c r="H104" s="24" t="s">
        <v>306</v>
      </c>
      <c r="I104" s="24" t="s">
        <v>306</v>
      </c>
      <c r="J104" s="5" t="s">
        <v>368</v>
      </c>
      <c r="K104" s="5" t="s">
        <v>377</v>
      </c>
      <c r="L104" s="5" t="s">
        <v>379</v>
      </c>
      <c r="M104" s="5" t="s">
        <v>371</v>
      </c>
      <c r="N104" s="5" t="s">
        <v>372</v>
      </c>
      <c r="O104" s="5">
        <v>1.609</v>
      </c>
      <c r="P104" s="91"/>
      <c r="Q104" s="91"/>
      <c r="R104" s="286">
        <v>4.4600000000000004E-3</v>
      </c>
      <c r="S104" s="91"/>
      <c r="T104" s="286">
        <v>1.17E-3</v>
      </c>
      <c r="U104" s="91"/>
      <c r="V104" s="99">
        <f t="shared" si="3"/>
        <v>5.6300000000000005E-3</v>
      </c>
      <c r="W104" s="34"/>
      <c r="X104" s="34"/>
      <c r="Y104" s="34"/>
      <c r="Z104" s="34"/>
      <c r="AA104" s="34"/>
      <c r="AB104" s="34"/>
      <c r="AC104" s="34"/>
      <c r="AD104" s="34"/>
      <c r="AE104" s="34"/>
      <c r="AF104" s="34"/>
      <c r="AG104" s="34"/>
      <c r="AH104" s="34"/>
      <c r="AI104" s="34"/>
      <c r="AJ104" s="34"/>
      <c r="AK104" s="34"/>
      <c r="AL104" s="34"/>
      <c r="AM104" s="34"/>
      <c r="AN104" s="34" t="s">
        <v>305</v>
      </c>
      <c r="AO104" s="34" t="s">
        <v>305</v>
      </c>
      <c r="AP104" s="34"/>
      <c r="AQ104" s="34"/>
      <c r="AR104" s="34"/>
      <c r="AS104" s="34"/>
      <c r="AT104" s="34"/>
      <c r="AU104" s="34"/>
      <c r="AV104" s="34"/>
      <c r="AW104" s="34"/>
      <c r="AX104" s="34"/>
      <c r="AY104" s="34"/>
      <c r="AZ104" s="34"/>
      <c r="BA104" s="5"/>
    </row>
    <row r="105" spans="1:53" ht="26.25" thickBot="1" x14ac:dyDescent="0.3">
      <c r="A105" s="24" t="s">
        <v>306</v>
      </c>
      <c r="B105" s="24" t="s">
        <v>306</v>
      </c>
      <c r="C105" s="24" t="s">
        <v>306</v>
      </c>
      <c r="D105" s="24" t="s">
        <v>306</v>
      </c>
      <c r="E105" s="24" t="s">
        <v>306</v>
      </c>
      <c r="F105" s="24" t="s">
        <v>305</v>
      </c>
      <c r="G105" s="24" t="s">
        <v>305</v>
      </c>
      <c r="H105" s="24" t="s">
        <v>306</v>
      </c>
      <c r="I105" s="24" t="s">
        <v>306</v>
      </c>
      <c r="J105" s="5" t="s">
        <v>368</v>
      </c>
      <c r="K105" s="5" t="s">
        <v>377</v>
      </c>
      <c r="L105" s="5" t="s">
        <v>380</v>
      </c>
      <c r="M105" s="5" t="s">
        <v>371</v>
      </c>
      <c r="N105" s="5" t="s">
        <v>372</v>
      </c>
      <c r="O105" s="5">
        <v>1.609</v>
      </c>
      <c r="P105" s="91"/>
      <c r="Q105" s="91"/>
      <c r="R105" s="286">
        <v>2.86E-2</v>
      </c>
      <c r="S105" s="91"/>
      <c r="T105" s="286">
        <v>7.4900000000000001E-3</v>
      </c>
      <c r="U105" s="91"/>
      <c r="V105" s="99">
        <f t="shared" si="3"/>
        <v>3.6089999999999997E-2</v>
      </c>
      <c r="W105" s="34"/>
      <c r="X105" s="34"/>
      <c r="Y105" s="34"/>
      <c r="Z105" s="34"/>
      <c r="AA105" s="34"/>
      <c r="AB105" s="34"/>
      <c r="AC105" s="34"/>
      <c r="AD105" s="34"/>
      <c r="AE105" s="34"/>
      <c r="AF105" s="34"/>
      <c r="AG105" s="34"/>
      <c r="AH105" s="34"/>
      <c r="AI105" s="34"/>
      <c r="AJ105" s="34"/>
      <c r="AK105" s="34"/>
      <c r="AL105" s="34"/>
      <c r="AM105" s="34"/>
      <c r="AN105" s="34" t="s">
        <v>305</v>
      </c>
      <c r="AO105" s="34" t="s">
        <v>305</v>
      </c>
      <c r="AP105" s="34"/>
      <c r="AQ105" s="34"/>
      <c r="AR105" s="34"/>
      <c r="AS105" s="34"/>
      <c r="AT105" s="34"/>
      <c r="AU105" s="34"/>
      <c r="AV105" s="34"/>
      <c r="AW105" s="34"/>
      <c r="AX105" s="34"/>
      <c r="AY105" s="34"/>
      <c r="AZ105" s="34"/>
      <c r="BA105" s="5"/>
    </row>
    <row r="106" spans="1:53" ht="26.25" thickBot="1" x14ac:dyDescent="0.3">
      <c r="A106" s="24" t="s">
        <v>306</v>
      </c>
      <c r="B106" s="24" t="s">
        <v>306</v>
      </c>
      <c r="C106" s="24" t="s">
        <v>306</v>
      </c>
      <c r="D106" s="24" t="s">
        <v>306</v>
      </c>
      <c r="E106" s="24" t="s">
        <v>306</v>
      </c>
      <c r="F106" s="24" t="s">
        <v>305</v>
      </c>
      <c r="G106" s="24" t="s">
        <v>305</v>
      </c>
      <c r="H106" s="24" t="s">
        <v>306</v>
      </c>
      <c r="I106" s="24" t="s">
        <v>306</v>
      </c>
      <c r="J106" s="5" t="s">
        <v>368</v>
      </c>
      <c r="K106" s="5" t="s">
        <v>377</v>
      </c>
      <c r="L106" s="5" t="s">
        <v>381</v>
      </c>
      <c r="M106" s="5" t="s">
        <v>371</v>
      </c>
      <c r="N106" s="5" t="s">
        <v>372</v>
      </c>
      <c r="O106" s="5">
        <v>1.609</v>
      </c>
      <c r="P106" s="91"/>
      <c r="Q106" s="91"/>
      <c r="R106" s="286">
        <v>2.7799999999999998E-2</v>
      </c>
      <c r="S106" s="91"/>
      <c r="T106" s="286">
        <v>7.28E-3</v>
      </c>
      <c r="U106" s="91"/>
      <c r="V106" s="99">
        <f t="shared" si="3"/>
        <v>3.508E-2</v>
      </c>
      <c r="W106" s="34"/>
      <c r="X106" s="34"/>
      <c r="Y106" s="34"/>
      <c r="Z106" s="34"/>
      <c r="AA106" s="34"/>
      <c r="AB106" s="34"/>
      <c r="AC106" s="34"/>
      <c r="AD106" s="34"/>
      <c r="AE106" s="34"/>
      <c r="AF106" s="34"/>
      <c r="AG106" s="34"/>
      <c r="AH106" s="34"/>
      <c r="AI106" s="34"/>
      <c r="AJ106" s="34"/>
      <c r="AK106" s="34"/>
      <c r="AL106" s="34"/>
      <c r="AM106" s="34"/>
      <c r="AN106" s="34" t="s">
        <v>305</v>
      </c>
      <c r="AO106" s="34" t="s">
        <v>305</v>
      </c>
      <c r="AP106" s="34"/>
      <c r="AQ106" s="34"/>
      <c r="AR106" s="34"/>
      <c r="AS106" s="34"/>
      <c r="AT106" s="34"/>
      <c r="AU106" s="34"/>
      <c r="AV106" s="34"/>
      <c r="AW106" s="34"/>
      <c r="AX106" s="34"/>
      <c r="AY106" s="34"/>
      <c r="AZ106" s="34"/>
      <c r="BA106" s="5"/>
    </row>
    <row r="107" spans="1:53" ht="26.25" thickBot="1" x14ac:dyDescent="0.3">
      <c r="A107" s="24" t="s">
        <v>306</v>
      </c>
      <c r="B107" s="24" t="s">
        <v>306</v>
      </c>
      <c r="C107" s="24" t="s">
        <v>306</v>
      </c>
      <c r="D107" s="24" t="s">
        <v>306</v>
      </c>
      <c r="E107" s="24" t="s">
        <v>306</v>
      </c>
      <c r="F107" s="24" t="s">
        <v>305</v>
      </c>
      <c r="G107" s="24" t="s">
        <v>305</v>
      </c>
      <c r="H107" s="24" t="s">
        <v>306</v>
      </c>
      <c r="I107" s="24" t="s">
        <v>306</v>
      </c>
      <c r="J107" s="5" t="s">
        <v>368</v>
      </c>
      <c r="K107" s="5" t="s">
        <v>382</v>
      </c>
      <c r="L107" s="5" t="s">
        <v>383</v>
      </c>
      <c r="M107" s="5" t="s">
        <v>371</v>
      </c>
      <c r="N107" s="5" t="s">
        <v>372</v>
      </c>
      <c r="O107" s="5">
        <v>1.609</v>
      </c>
      <c r="P107" s="91"/>
      <c r="Q107" s="91"/>
      <c r="R107" s="286">
        <v>1.8710000000000001E-2</v>
      </c>
      <c r="S107" s="91"/>
      <c r="T107" s="286">
        <v>4.2399999999999998E-3</v>
      </c>
      <c r="U107" s="91"/>
      <c r="V107" s="99">
        <f t="shared" si="3"/>
        <v>2.2950000000000002E-2</v>
      </c>
      <c r="W107" s="34"/>
      <c r="X107" s="34"/>
      <c r="Y107" s="34"/>
      <c r="Z107" s="34"/>
      <c r="AA107" s="34"/>
      <c r="AB107" s="34"/>
      <c r="AC107" s="34"/>
      <c r="AD107" s="34"/>
      <c r="AE107" s="34"/>
      <c r="AF107" s="34"/>
      <c r="AG107" s="34"/>
      <c r="AH107" s="34"/>
      <c r="AI107" s="34"/>
      <c r="AJ107" s="34"/>
      <c r="AK107" s="34"/>
      <c r="AL107" s="34" t="s">
        <v>305</v>
      </c>
      <c r="AM107" s="34" t="s">
        <v>305</v>
      </c>
      <c r="AN107" s="34"/>
      <c r="AO107" s="34"/>
      <c r="AP107" s="34"/>
      <c r="AQ107" s="34"/>
      <c r="AR107" s="34"/>
      <c r="AS107" s="34"/>
      <c r="AT107" s="34"/>
      <c r="AU107" s="34"/>
      <c r="AV107" s="34"/>
      <c r="AW107" s="34"/>
      <c r="AX107" s="34"/>
      <c r="AY107" s="34"/>
      <c r="AZ107" s="34"/>
      <c r="BA107" s="5"/>
    </row>
    <row r="108" spans="1:53" ht="26.25" thickBot="1" x14ac:dyDescent="0.3">
      <c r="A108" s="24" t="s">
        <v>306</v>
      </c>
      <c r="B108" s="24" t="s">
        <v>306</v>
      </c>
      <c r="C108" s="24" t="s">
        <v>306</v>
      </c>
      <c r="D108" s="24" t="s">
        <v>306</v>
      </c>
      <c r="E108" s="24" t="s">
        <v>306</v>
      </c>
      <c r="F108" s="24" t="s">
        <v>305</v>
      </c>
      <c r="G108" s="24" t="s">
        <v>305</v>
      </c>
      <c r="H108" s="24" t="s">
        <v>306</v>
      </c>
      <c r="I108" s="24" t="s">
        <v>306</v>
      </c>
      <c r="J108" s="5" t="s">
        <v>368</v>
      </c>
      <c r="K108" s="5" t="s">
        <v>382</v>
      </c>
      <c r="L108" s="5" t="s">
        <v>384</v>
      </c>
      <c r="M108" s="5" t="s">
        <v>371</v>
      </c>
      <c r="N108" s="5" t="s">
        <v>372</v>
      </c>
      <c r="O108" s="5">
        <v>1.609</v>
      </c>
      <c r="P108" s="91"/>
      <c r="Q108" s="91"/>
      <c r="R108" s="286">
        <v>0.12933</v>
      </c>
      <c r="S108" s="91"/>
      <c r="T108" s="286">
        <v>2.9319999999999999E-2</v>
      </c>
      <c r="U108" s="91"/>
      <c r="V108" s="99">
        <f t="shared" si="3"/>
        <v>0.15865000000000001</v>
      </c>
      <c r="W108" s="34"/>
      <c r="X108" s="34"/>
      <c r="Y108" s="34"/>
      <c r="Z108" s="34"/>
      <c r="AA108" s="34"/>
      <c r="AB108" s="34"/>
      <c r="AC108" s="34"/>
      <c r="AD108" s="34"/>
      <c r="AE108" s="34"/>
      <c r="AF108" s="34"/>
      <c r="AG108" s="34"/>
      <c r="AH108" s="34"/>
      <c r="AI108" s="34"/>
      <c r="AJ108" s="34"/>
      <c r="AK108" s="34"/>
      <c r="AL108" s="34" t="s">
        <v>305</v>
      </c>
      <c r="AM108" s="34" t="s">
        <v>305</v>
      </c>
      <c r="AN108" s="34"/>
      <c r="AO108" s="34"/>
      <c r="AP108" s="34"/>
      <c r="AQ108" s="34"/>
      <c r="AR108" s="34"/>
      <c r="AS108" s="34"/>
      <c r="AT108" s="34"/>
      <c r="AU108" s="34"/>
      <c r="AV108" s="34"/>
      <c r="AW108" s="34"/>
      <c r="AX108" s="34"/>
      <c r="AY108" s="34"/>
      <c r="AZ108" s="34"/>
      <c r="BA108" s="5"/>
    </row>
    <row r="109" spans="1:53" ht="26.25" thickBot="1" x14ac:dyDescent="0.3">
      <c r="A109" s="24" t="s">
        <v>306</v>
      </c>
      <c r="B109" s="24" t="s">
        <v>306</v>
      </c>
      <c r="C109" s="24" t="s">
        <v>306</v>
      </c>
      <c r="D109" s="24" t="s">
        <v>306</v>
      </c>
      <c r="E109" s="24" t="s">
        <v>306</v>
      </c>
      <c r="F109" s="24" t="s">
        <v>305</v>
      </c>
      <c r="G109" s="24" t="s">
        <v>306</v>
      </c>
      <c r="H109" s="24" t="s">
        <v>306</v>
      </c>
      <c r="I109" s="24" t="s">
        <v>306</v>
      </c>
      <c r="J109" s="5" t="s">
        <v>385</v>
      </c>
      <c r="K109" s="5" t="s">
        <v>386</v>
      </c>
      <c r="L109" s="5" t="s">
        <v>106</v>
      </c>
      <c r="M109" s="5" t="s">
        <v>371</v>
      </c>
      <c r="N109" s="5" t="s">
        <v>372</v>
      </c>
      <c r="O109" s="5">
        <v>1.609</v>
      </c>
      <c r="P109" s="91"/>
      <c r="Q109" s="91"/>
      <c r="R109" s="286">
        <v>0.27256999999999998</v>
      </c>
      <c r="S109" s="91"/>
      <c r="T109" s="286">
        <v>3.3500000000000002E-2</v>
      </c>
      <c r="U109" s="91"/>
      <c r="V109" s="99">
        <f t="shared" si="3"/>
        <v>0.30606999999999995</v>
      </c>
      <c r="W109" s="34"/>
      <c r="X109" s="34"/>
      <c r="Y109" s="34"/>
      <c r="Z109" s="34"/>
      <c r="AA109" s="34"/>
      <c r="AB109" s="34"/>
      <c r="AC109" s="34"/>
      <c r="AD109" s="34"/>
      <c r="AE109" s="34"/>
      <c r="AF109" s="34"/>
      <c r="AG109" s="34"/>
      <c r="AH109" s="34"/>
      <c r="AI109" s="34"/>
      <c r="AJ109" s="34" t="s">
        <v>305</v>
      </c>
      <c r="AK109" s="34" t="s">
        <v>305</v>
      </c>
      <c r="AL109" s="34"/>
      <c r="AM109" s="34"/>
      <c r="AN109" s="34"/>
      <c r="AO109" s="34"/>
      <c r="AP109" s="34"/>
      <c r="AQ109" s="34"/>
      <c r="AR109" s="34"/>
      <c r="AS109" s="34"/>
      <c r="AT109" s="34"/>
      <c r="AU109" s="34"/>
      <c r="AV109" s="34"/>
      <c r="AW109" s="34"/>
      <c r="AX109" s="34"/>
      <c r="AY109" s="34"/>
      <c r="AZ109" s="34"/>
      <c r="BA109" s="5"/>
    </row>
    <row r="110" spans="1:53" ht="26.25" thickBot="1" x14ac:dyDescent="0.3">
      <c r="A110" s="24" t="s">
        <v>306</v>
      </c>
      <c r="B110" s="24" t="s">
        <v>306</v>
      </c>
      <c r="C110" s="24" t="s">
        <v>306</v>
      </c>
      <c r="D110" s="24" t="s">
        <v>306</v>
      </c>
      <c r="E110" s="24" t="s">
        <v>306</v>
      </c>
      <c r="F110" s="24" t="s">
        <v>305</v>
      </c>
      <c r="G110" s="24" t="s">
        <v>306</v>
      </c>
      <c r="H110" s="24" t="s">
        <v>306</v>
      </c>
      <c r="I110" s="24" t="s">
        <v>306</v>
      </c>
      <c r="J110" s="5" t="s">
        <v>385</v>
      </c>
      <c r="K110" s="5" t="s">
        <v>633</v>
      </c>
      <c r="L110" s="5" t="s">
        <v>106</v>
      </c>
      <c r="M110" s="5" t="s">
        <v>371</v>
      </c>
      <c r="N110" s="5" t="s">
        <v>372</v>
      </c>
      <c r="O110" s="5">
        <v>1.609</v>
      </c>
      <c r="P110" s="91"/>
      <c r="Q110" s="91"/>
      <c r="R110" s="286">
        <v>0.18592</v>
      </c>
      <c r="S110" s="91"/>
      <c r="T110" s="286">
        <v>2.2859999999999998E-2</v>
      </c>
      <c r="U110" s="91"/>
      <c r="V110" s="99">
        <f t="shared" si="3"/>
        <v>0.20877999999999999</v>
      </c>
      <c r="W110" s="34"/>
      <c r="X110" s="34"/>
      <c r="Y110" s="34"/>
      <c r="Z110" s="34"/>
      <c r="AA110" s="34"/>
      <c r="AB110" s="34"/>
      <c r="AC110" s="34"/>
      <c r="AD110" s="34"/>
      <c r="AE110" s="34"/>
      <c r="AF110" s="34"/>
      <c r="AG110" s="34"/>
      <c r="AH110" s="34"/>
      <c r="AI110" s="34"/>
      <c r="AJ110" s="34" t="s">
        <v>305</v>
      </c>
      <c r="AK110" s="34" t="s">
        <v>305</v>
      </c>
      <c r="AL110" s="34"/>
      <c r="AM110" s="34"/>
      <c r="AN110" s="34"/>
      <c r="AO110" s="34"/>
      <c r="AP110" s="34"/>
      <c r="AQ110" s="34"/>
      <c r="AR110" s="34"/>
      <c r="AS110" s="34"/>
      <c r="AT110" s="34"/>
      <c r="AU110" s="34"/>
      <c r="AV110" s="34"/>
      <c r="AW110" s="34"/>
      <c r="AX110" s="34"/>
      <c r="AY110" s="34"/>
      <c r="AZ110" s="34"/>
      <c r="BA110" s="5"/>
    </row>
    <row r="111" spans="1:53" ht="26.25" thickBot="1" x14ac:dyDescent="0.3">
      <c r="A111" s="24" t="s">
        <v>306</v>
      </c>
      <c r="B111" s="24" t="s">
        <v>306</v>
      </c>
      <c r="C111" s="24" t="s">
        <v>306</v>
      </c>
      <c r="D111" s="24" t="s">
        <v>306</v>
      </c>
      <c r="E111" s="24" t="s">
        <v>306</v>
      </c>
      <c r="F111" s="24" t="s">
        <v>305</v>
      </c>
      <c r="G111" s="24" t="s">
        <v>306</v>
      </c>
      <c r="H111" s="24" t="s">
        <v>306</v>
      </c>
      <c r="I111" s="24" t="s">
        <v>306</v>
      </c>
      <c r="J111" s="5" t="s">
        <v>385</v>
      </c>
      <c r="K111" s="5" t="s">
        <v>633</v>
      </c>
      <c r="L111" s="5" t="s">
        <v>387</v>
      </c>
      <c r="M111" s="5" t="s">
        <v>371</v>
      </c>
      <c r="N111" s="5" t="s">
        <v>372</v>
      </c>
      <c r="O111" s="5">
        <v>1.609</v>
      </c>
      <c r="P111" s="91"/>
      <c r="Q111" s="91"/>
      <c r="R111" s="286">
        <v>0.18287</v>
      </c>
      <c r="S111" s="91"/>
      <c r="T111" s="286">
        <v>2.249E-2</v>
      </c>
      <c r="U111" s="91"/>
      <c r="V111" s="99">
        <f t="shared" si="3"/>
        <v>0.20536000000000001</v>
      </c>
      <c r="W111" s="34"/>
      <c r="X111" s="34"/>
      <c r="Y111" s="34"/>
      <c r="Z111" s="34"/>
      <c r="AA111" s="34"/>
      <c r="AB111" s="34"/>
      <c r="AC111" s="34"/>
      <c r="AD111" s="34"/>
      <c r="AE111" s="34"/>
      <c r="AF111" s="34"/>
      <c r="AG111" s="34"/>
      <c r="AH111" s="34"/>
      <c r="AI111" s="34"/>
      <c r="AJ111" s="34" t="s">
        <v>305</v>
      </c>
      <c r="AK111" s="34" t="s">
        <v>305</v>
      </c>
      <c r="AL111" s="34"/>
      <c r="AM111" s="34"/>
      <c r="AN111" s="34"/>
      <c r="AO111" s="34"/>
      <c r="AP111" s="34"/>
      <c r="AQ111" s="34"/>
      <c r="AR111" s="34"/>
      <c r="AS111" s="34"/>
      <c r="AT111" s="34"/>
      <c r="AU111" s="34"/>
      <c r="AV111" s="34"/>
      <c r="AW111" s="34"/>
      <c r="AX111" s="34"/>
      <c r="AY111" s="34"/>
      <c r="AZ111" s="34"/>
      <c r="BA111" s="5"/>
    </row>
    <row r="112" spans="1:53" ht="26.25" thickBot="1" x14ac:dyDescent="0.3">
      <c r="A112" s="24" t="s">
        <v>306</v>
      </c>
      <c r="B112" s="24" t="s">
        <v>306</v>
      </c>
      <c r="C112" s="24" t="s">
        <v>306</v>
      </c>
      <c r="D112" s="24" t="s">
        <v>306</v>
      </c>
      <c r="E112" s="24" t="s">
        <v>306</v>
      </c>
      <c r="F112" s="24" t="s">
        <v>305</v>
      </c>
      <c r="G112" s="24" t="s">
        <v>306</v>
      </c>
      <c r="H112" s="24" t="s">
        <v>306</v>
      </c>
      <c r="I112" s="24" t="s">
        <v>306</v>
      </c>
      <c r="J112" s="5" t="s">
        <v>385</v>
      </c>
      <c r="K112" s="5" t="s">
        <v>633</v>
      </c>
      <c r="L112" s="5" t="s">
        <v>388</v>
      </c>
      <c r="M112" s="5" t="s">
        <v>371</v>
      </c>
      <c r="N112" s="5" t="s">
        <v>372</v>
      </c>
      <c r="O112" s="5">
        <v>1.609</v>
      </c>
      <c r="P112" s="91"/>
      <c r="Q112" s="91"/>
      <c r="R112" s="286">
        <v>0.27429999999999999</v>
      </c>
      <c r="S112" s="91"/>
      <c r="T112" s="286">
        <v>3.3730000000000003E-2</v>
      </c>
      <c r="U112" s="91"/>
      <c r="V112" s="99">
        <f t="shared" si="3"/>
        <v>0.30802999999999997</v>
      </c>
      <c r="W112" s="34"/>
      <c r="X112" s="34"/>
      <c r="Y112" s="34"/>
      <c r="Z112" s="34"/>
      <c r="AA112" s="34"/>
      <c r="AB112" s="34"/>
      <c r="AC112" s="34"/>
      <c r="AD112" s="34"/>
      <c r="AE112" s="34"/>
      <c r="AF112" s="34"/>
      <c r="AG112" s="34"/>
      <c r="AH112" s="34"/>
      <c r="AI112" s="34"/>
      <c r="AJ112" s="34" t="s">
        <v>305</v>
      </c>
      <c r="AK112" s="34" t="s">
        <v>305</v>
      </c>
      <c r="AL112" s="34"/>
      <c r="AM112" s="34"/>
      <c r="AN112" s="34"/>
      <c r="AO112" s="34"/>
      <c r="AP112" s="34"/>
      <c r="AQ112" s="34"/>
      <c r="AR112" s="34"/>
      <c r="AS112" s="34"/>
      <c r="AT112" s="34"/>
      <c r="AU112" s="34"/>
      <c r="AV112" s="34"/>
      <c r="AW112" s="34"/>
      <c r="AX112" s="34"/>
      <c r="AY112" s="34"/>
      <c r="AZ112" s="34"/>
      <c r="BA112" s="5"/>
    </row>
    <row r="113" spans="1:53" ht="26.25" thickBot="1" x14ac:dyDescent="0.3">
      <c r="A113" s="24" t="s">
        <v>306</v>
      </c>
      <c r="B113" s="24" t="s">
        <v>306</v>
      </c>
      <c r="C113" s="24" t="s">
        <v>306</v>
      </c>
      <c r="D113" s="24" t="s">
        <v>306</v>
      </c>
      <c r="E113" s="24" t="s">
        <v>306</v>
      </c>
      <c r="F113" s="24" t="s">
        <v>305</v>
      </c>
      <c r="G113" s="24" t="s">
        <v>306</v>
      </c>
      <c r="H113" s="24" t="s">
        <v>306</v>
      </c>
      <c r="I113" s="24" t="s">
        <v>306</v>
      </c>
      <c r="J113" s="5" t="s">
        <v>385</v>
      </c>
      <c r="K113" s="5" t="s">
        <v>636</v>
      </c>
      <c r="L113" s="5" t="s">
        <v>106</v>
      </c>
      <c r="M113" s="5" t="s">
        <v>371</v>
      </c>
      <c r="N113" s="5" t="s">
        <v>372</v>
      </c>
      <c r="O113" s="5">
        <v>1.609</v>
      </c>
      <c r="P113" s="91"/>
      <c r="Q113" s="91"/>
      <c r="R113" s="286">
        <v>0.26128000000000001</v>
      </c>
      <c r="S113" s="91"/>
      <c r="T113" s="286">
        <v>3.2129999999999999E-2</v>
      </c>
      <c r="U113" s="91"/>
      <c r="V113" s="99">
        <f t="shared" si="3"/>
        <v>0.29341</v>
      </c>
      <c r="W113" s="34"/>
      <c r="X113" s="34"/>
      <c r="Y113" s="34"/>
      <c r="Z113" s="34"/>
      <c r="AA113" s="34"/>
      <c r="AB113" s="34"/>
      <c r="AC113" s="34"/>
      <c r="AD113" s="34"/>
      <c r="AE113" s="34"/>
      <c r="AF113" s="34"/>
      <c r="AG113" s="34"/>
      <c r="AH113" s="34"/>
      <c r="AI113" s="34"/>
      <c r="AJ113" s="34" t="s">
        <v>305</v>
      </c>
      <c r="AK113" s="34" t="s">
        <v>305</v>
      </c>
      <c r="AL113" s="34"/>
      <c r="AM113" s="34"/>
      <c r="AN113" s="34"/>
      <c r="AO113" s="34"/>
      <c r="AP113" s="34"/>
      <c r="AQ113" s="34"/>
      <c r="AR113" s="34"/>
      <c r="AS113" s="34"/>
      <c r="AT113" s="34"/>
      <c r="AU113" s="34"/>
      <c r="AV113" s="34"/>
      <c r="AW113" s="34"/>
      <c r="AX113" s="34"/>
      <c r="AY113" s="34"/>
      <c r="AZ113" s="34"/>
      <c r="BA113" s="5"/>
    </row>
    <row r="114" spans="1:53" ht="26.25" thickBot="1" x14ac:dyDescent="0.3">
      <c r="A114" s="24" t="s">
        <v>306</v>
      </c>
      <c r="B114" s="24" t="s">
        <v>306</v>
      </c>
      <c r="C114" s="24" t="s">
        <v>306</v>
      </c>
      <c r="D114" s="24" t="s">
        <v>306</v>
      </c>
      <c r="E114" s="24" t="s">
        <v>306</v>
      </c>
      <c r="F114" s="24" t="s">
        <v>305</v>
      </c>
      <c r="G114" s="24" t="s">
        <v>306</v>
      </c>
      <c r="H114" s="24" t="s">
        <v>306</v>
      </c>
      <c r="I114" s="24" t="s">
        <v>306</v>
      </c>
      <c r="J114" s="5" t="s">
        <v>385</v>
      </c>
      <c r="K114" s="5" t="s">
        <v>636</v>
      </c>
      <c r="L114" s="5" t="s">
        <v>387</v>
      </c>
      <c r="M114" s="5" t="s">
        <v>371</v>
      </c>
      <c r="N114" s="5" t="s">
        <v>372</v>
      </c>
      <c r="O114" s="5">
        <v>1.609</v>
      </c>
      <c r="P114" s="91"/>
      <c r="Q114" s="91"/>
      <c r="R114" s="286">
        <v>0.20011000000000001</v>
      </c>
      <c r="S114" s="91"/>
      <c r="T114" s="286">
        <v>2.461E-2</v>
      </c>
      <c r="U114" s="91"/>
      <c r="V114" s="99">
        <f t="shared" si="3"/>
        <v>0.22472</v>
      </c>
      <c r="W114" s="34"/>
      <c r="X114" s="34"/>
      <c r="Y114" s="34"/>
      <c r="Z114" s="34"/>
      <c r="AA114" s="34"/>
      <c r="AB114" s="34"/>
      <c r="AC114" s="34"/>
      <c r="AD114" s="34"/>
      <c r="AE114" s="34"/>
      <c r="AF114" s="34"/>
      <c r="AG114" s="34"/>
      <c r="AH114" s="34"/>
      <c r="AI114" s="34"/>
      <c r="AJ114" s="34" t="s">
        <v>305</v>
      </c>
      <c r="AK114" s="34" t="s">
        <v>305</v>
      </c>
      <c r="AL114" s="34"/>
      <c r="AM114" s="34"/>
      <c r="AN114" s="34"/>
      <c r="AO114" s="34"/>
      <c r="AP114" s="34"/>
      <c r="AQ114" s="34"/>
      <c r="AR114" s="34"/>
      <c r="AS114" s="34"/>
      <c r="AT114" s="34"/>
      <c r="AU114" s="34"/>
      <c r="AV114" s="34"/>
      <c r="AW114" s="34"/>
      <c r="AX114" s="34"/>
      <c r="AY114" s="34"/>
      <c r="AZ114" s="34"/>
      <c r="BA114" s="5"/>
    </row>
    <row r="115" spans="1:53" ht="26.25" thickBot="1" x14ac:dyDescent="0.3">
      <c r="A115" s="24" t="s">
        <v>306</v>
      </c>
      <c r="B115" s="24" t="s">
        <v>306</v>
      </c>
      <c r="C115" s="24" t="s">
        <v>306</v>
      </c>
      <c r="D115" s="24" t="s">
        <v>306</v>
      </c>
      <c r="E115" s="24" t="s">
        <v>306</v>
      </c>
      <c r="F115" s="24" t="s">
        <v>305</v>
      </c>
      <c r="G115" s="24" t="s">
        <v>306</v>
      </c>
      <c r="H115" s="24" t="s">
        <v>306</v>
      </c>
      <c r="I115" s="24" t="s">
        <v>306</v>
      </c>
      <c r="J115" s="5" t="s">
        <v>385</v>
      </c>
      <c r="K115" s="5" t="s">
        <v>636</v>
      </c>
      <c r="L115" s="5" t="s">
        <v>388</v>
      </c>
      <c r="M115" s="5" t="s">
        <v>371</v>
      </c>
      <c r="N115" s="5" t="s">
        <v>372</v>
      </c>
      <c r="O115" s="5">
        <v>1.609</v>
      </c>
      <c r="P115" s="91"/>
      <c r="Q115" s="91"/>
      <c r="R115" s="286">
        <v>0.58028000000000002</v>
      </c>
      <c r="S115" s="91"/>
      <c r="T115" s="286">
        <v>7.1370000000000003E-2</v>
      </c>
      <c r="U115" s="91"/>
      <c r="V115" s="99">
        <f t="shared" si="3"/>
        <v>0.65165000000000006</v>
      </c>
      <c r="W115" s="34"/>
      <c r="X115" s="34"/>
      <c r="Y115" s="34"/>
      <c r="Z115" s="34"/>
      <c r="AA115" s="34"/>
      <c r="AB115" s="34"/>
      <c r="AC115" s="34"/>
      <c r="AD115" s="34"/>
      <c r="AE115" s="34"/>
      <c r="AF115" s="34"/>
      <c r="AG115" s="34"/>
      <c r="AH115" s="34"/>
      <c r="AI115" s="34"/>
      <c r="AJ115" s="34" t="s">
        <v>305</v>
      </c>
      <c r="AK115" s="34" t="s">
        <v>305</v>
      </c>
      <c r="AL115" s="34"/>
      <c r="AM115" s="34"/>
      <c r="AN115" s="34"/>
      <c r="AO115" s="34"/>
      <c r="AP115" s="34"/>
      <c r="AQ115" s="34"/>
      <c r="AR115" s="34"/>
      <c r="AS115" s="34"/>
      <c r="AT115" s="34"/>
      <c r="AU115" s="34"/>
      <c r="AV115" s="34"/>
      <c r="AW115" s="34"/>
      <c r="AX115" s="34"/>
      <c r="AY115" s="34"/>
      <c r="AZ115" s="34"/>
      <c r="BA115" s="5"/>
    </row>
    <row r="116" spans="1:53" ht="64.5" thickBot="1" x14ac:dyDescent="0.3">
      <c r="A116" s="24" t="s">
        <v>306</v>
      </c>
      <c r="B116" s="24" t="s">
        <v>306</v>
      </c>
      <c r="C116" s="24" t="s">
        <v>306</v>
      </c>
      <c r="D116" s="24" t="s">
        <v>306</v>
      </c>
      <c r="E116" s="24" t="s">
        <v>306</v>
      </c>
      <c r="F116" s="24" t="s">
        <v>306</v>
      </c>
      <c r="G116" s="24" t="s">
        <v>306</v>
      </c>
      <c r="H116" s="24" t="s">
        <v>305</v>
      </c>
      <c r="I116" s="24" t="s">
        <v>306</v>
      </c>
      <c r="J116" s="5" t="s">
        <v>24</v>
      </c>
      <c r="K116" s="194" t="s">
        <v>389</v>
      </c>
      <c r="L116" s="5"/>
      <c r="M116" s="5" t="s">
        <v>390</v>
      </c>
      <c r="N116" s="5"/>
      <c r="O116" s="5"/>
      <c r="P116" s="91"/>
      <c r="Q116" s="91"/>
      <c r="R116" s="289">
        <v>580.77719999999999</v>
      </c>
      <c r="S116" s="91"/>
      <c r="T116" s="91"/>
      <c r="U116" s="91"/>
      <c r="V116" s="99">
        <f t="shared" si="3"/>
        <v>580.77719999999999</v>
      </c>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t="s">
        <v>305</v>
      </c>
      <c r="AU116" s="34"/>
      <c r="AV116" s="34"/>
      <c r="AW116" s="34"/>
      <c r="AX116" s="34"/>
      <c r="AY116" s="34"/>
      <c r="AZ116" s="34"/>
      <c r="BA116" s="5" t="s">
        <v>1058</v>
      </c>
    </row>
    <row r="117" spans="1:53" ht="15.75" thickBot="1" x14ac:dyDescent="0.3">
      <c r="A117" s="24" t="s">
        <v>306</v>
      </c>
      <c r="B117" s="24" t="s">
        <v>306</v>
      </c>
      <c r="C117" s="24" t="s">
        <v>306</v>
      </c>
      <c r="D117" s="24" t="s">
        <v>306</v>
      </c>
      <c r="E117" s="24" t="s">
        <v>305</v>
      </c>
      <c r="F117" s="24" t="s">
        <v>306</v>
      </c>
      <c r="G117" s="24" t="s">
        <v>306</v>
      </c>
      <c r="H117" s="24" t="s">
        <v>306</v>
      </c>
      <c r="I117" s="24" t="s">
        <v>306</v>
      </c>
      <c r="J117" s="5" t="s">
        <v>25</v>
      </c>
      <c r="K117" s="5" t="s">
        <v>391</v>
      </c>
      <c r="L117" s="5" t="s">
        <v>115</v>
      </c>
      <c r="M117" s="5" t="s">
        <v>113</v>
      </c>
      <c r="N117" s="5" t="s">
        <v>392</v>
      </c>
      <c r="O117" s="5">
        <v>1E-3</v>
      </c>
      <c r="P117" s="91"/>
      <c r="Q117" s="91"/>
      <c r="R117" s="286">
        <v>0.98485</v>
      </c>
      <c r="S117" s="91"/>
      <c r="T117" s="91"/>
      <c r="U117" s="91"/>
      <c r="V117" s="99">
        <f t="shared" ref="V117:V143" si="4">ROUND(SUM(P117:U117),3)</f>
        <v>0.98499999999999999</v>
      </c>
      <c r="W117" s="34"/>
      <c r="X117" s="34"/>
      <c r="Y117" s="34"/>
      <c r="Z117" s="34"/>
      <c r="AA117" s="34"/>
      <c r="AB117" s="34"/>
      <c r="AC117" s="34"/>
      <c r="AD117" s="34"/>
      <c r="AE117" s="34"/>
      <c r="AF117" s="34"/>
      <c r="AG117" s="34"/>
      <c r="AH117" s="34"/>
      <c r="AI117" s="34" t="s">
        <v>305</v>
      </c>
      <c r="AJ117" s="34"/>
      <c r="AK117" s="34"/>
      <c r="AL117" s="34"/>
      <c r="AM117" s="34"/>
      <c r="AN117" s="34"/>
      <c r="AO117" s="34"/>
      <c r="AP117" s="34"/>
      <c r="AQ117" s="34"/>
      <c r="AR117" s="34"/>
      <c r="AS117" s="34"/>
      <c r="AT117" s="34"/>
      <c r="AU117" s="34"/>
      <c r="AV117" s="34"/>
      <c r="AW117" s="34"/>
      <c r="AX117" s="34"/>
      <c r="AY117" s="34"/>
      <c r="AZ117" s="34"/>
      <c r="BA117" s="5"/>
    </row>
    <row r="118" spans="1:53" ht="15.75" thickBot="1" x14ac:dyDescent="0.3">
      <c r="A118" s="24" t="s">
        <v>306</v>
      </c>
      <c r="B118" s="24" t="s">
        <v>306</v>
      </c>
      <c r="C118" s="24" t="s">
        <v>306</v>
      </c>
      <c r="D118" s="24" t="s">
        <v>306</v>
      </c>
      <c r="E118" s="24" t="s">
        <v>305</v>
      </c>
      <c r="F118" s="24" t="s">
        <v>306</v>
      </c>
      <c r="G118" s="24" t="s">
        <v>306</v>
      </c>
      <c r="H118" s="24" t="s">
        <v>306</v>
      </c>
      <c r="I118" s="24" t="s">
        <v>306</v>
      </c>
      <c r="J118" s="5" t="s">
        <v>25</v>
      </c>
      <c r="K118" s="5" t="s">
        <v>391</v>
      </c>
      <c r="L118" s="5" t="s">
        <v>112</v>
      </c>
      <c r="M118" s="5" t="s">
        <v>113</v>
      </c>
      <c r="N118" s="5" t="s">
        <v>392</v>
      </c>
      <c r="O118" s="5">
        <v>1E-3</v>
      </c>
      <c r="P118" s="91"/>
      <c r="Q118" s="91"/>
      <c r="R118" s="286">
        <v>1.23393</v>
      </c>
      <c r="S118" s="91"/>
      <c r="T118" s="91"/>
      <c r="U118" s="91"/>
      <c r="V118" s="99">
        <f t="shared" si="4"/>
        <v>1.234</v>
      </c>
      <c r="W118" s="34"/>
      <c r="X118" s="34"/>
      <c r="Y118" s="34"/>
      <c r="Z118" s="34"/>
      <c r="AA118" s="34"/>
      <c r="AB118" s="34"/>
      <c r="AC118" s="34"/>
      <c r="AD118" s="34"/>
      <c r="AE118" s="34"/>
      <c r="AF118" s="34"/>
      <c r="AG118" s="34"/>
      <c r="AH118" s="34"/>
      <c r="AI118" s="34" t="s">
        <v>305</v>
      </c>
      <c r="AJ118" s="34"/>
      <c r="AK118" s="34"/>
      <c r="AL118" s="34"/>
      <c r="AM118" s="34"/>
      <c r="AN118" s="34"/>
      <c r="AO118" s="34"/>
      <c r="AP118" s="34"/>
      <c r="AQ118" s="34"/>
      <c r="AR118" s="34"/>
      <c r="AS118" s="34"/>
      <c r="AT118" s="34"/>
      <c r="AU118" s="34"/>
      <c r="AV118" s="34"/>
      <c r="AW118" s="34"/>
      <c r="AX118" s="34"/>
      <c r="AY118" s="34"/>
      <c r="AZ118" s="34"/>
      <c r="BA118" s="5"/>
    </row>
    <row r="119" spans="1:53" ht="15.75" thickBot="1" x14ac:dyDescent="0.3">
      <c r="A119" s="24" t="s">
        <v>306</v>
      </c>
      <c r="B119" s="24" t="s">
        <v>306</v>
      </c>
      <c r="C119" s="24" t="s">
        <v>306</v>
      </c>
      <c r="D119" s="24" t="s">
        <v>306</v>
      </c>
      <c r="E119" s="24" t="s">
        <v>305</v>
      </c>
      <c r="F119" s="24" t="s">
        <v>306</v>
      </c>
      <c r="G119" s="24" t="s">
        <v>306</v>
      </c>
      <c r="H119" s="24" t="s">
        <v>306</v>
      </c>
      <c r="I119" s="24" t="s">
        <v>306</v>
      </c>
      <c r="J119" s="5" t="s">
        <v>25</v>
      </c>
      <c r="K119" s="5" t="s">
        <v>393</v>
      </c>
      <c r="L119" s="5" t="s">
        <v>115</v>
      </c>
      <c r="M119" s="5" t="s">
        <v>113</v>
      </c>
      <c r="N119" s="5" t="s">
        <v>392</v>
      </c>
      <c r="O119" s="5">
        <v>1E-3</v>
      </c>
      <c r="P119" s="91"/>
      <c r="Q119" s="91"/>
      <c r="R119" s="286">
        <v>0.98485</v>
      </c>
      <c r="S119" s="91"/>
      <c r="T119" s="91"/>
      <c r="U119" s="91"/>
      <c r="V119" s="99">
        <f t="shared" si="4"/>
        <v>0.98499999999999999</v>
      </c>
      <c r="W119" s="34"/>
      <c r="X119" s="34"/>
      <c r="Y119" s="34"/>
      <c r="Z119" s="34"/>
      <c r="AA119" s="34"/>
      <c r="AB119" s="34"/>
      <c r="AC119" s="34"/>
      <c r="AD119" s="34"/>
      <c r="AE119" s="34"/>
      <c r="AF119" s="34"/>
      <c r="AG119" s="34"/>
      <c r="AH119" s="34"/>
      <c r="AI119" s="34" t="s">
        <v>305</v>
      </c>
      <c r="AJ119" s="34"/>
      <c r="AK119" s="34"/>
      <c r="AL119" s="34"/>
      <c r="AM119" s="34"/>
      <c r="AN119" s="34"/>
      <c r="AO119" s="34"/>
      <c r="AP119" s="34"/>
      <c r="AQ119" s="34"/>
      <c r="AR119" s="34"/>
      <c r="AS119" s="34"/>
      <c r="AT119" s="34"/>
      <c r="AU119" s="34"/>
      <c r="AV119" s="34"/>
      <c r="AW119" s="34"/>
      <c r="AX119" s="34"/>
      <c r="AY119" s="34"/>
      <c r="AZ119" s="34"/>
      <c r="BA119" s="5"/>
    </row>
    <row r="120" spans="1:53" ht="15.75" thickBot="1" x14ac:dyDescent="0.3">
      <c r="A120" s="24" t="s">
        <v>306</v>
      </c>
      <c r="B120" s="24" t="s">
        <v>306</v>
      </c>
      <c r="C120" s="24" t="s">
        <v>306</v>
      </c>
      <c r="D120" s="24" t="s">
        <v>306</v>
      </c>
      <c r="E120" s="24" t="s">
        <v>305</v>
      </c>
      <c r="F120" s="24" t="s">
        <v>306</v>
      </c>
      <c r="G120" s="24" t="s">
        <v>306</v>
      </c>
      <c r="H120" s="24" t="s">
        <v>306</v>
      </c>
      <c r="I120" s="24" t="s">
        <v>306</v>
      </c>
      <c r="J120" s="5" t="s">
        <v>25</v>
      </c>
      <c r="K120" s="5" t="s">
        <v>394</v>
      </c>
      <c r="L120" s="5" t="s">
        <v>112</v>
      </c>
      <c r="M120" s="5" t="s">
        <v>113</v>
      </c>
      <c r="N120" s="5" t="s">
        <v>392</v>
      </c>
      <c r="O120" s="5">
        <v>1E-3</v>
      </c>
      <c r="P120" s="91"/>
      <c r="Q120" s="91"/>
      <c r="R120" s="286">
        <v>5.9132499999999997</v>
      </c>
      <c r="S120" s="91"/>
      <c r="T120" s="91"/>
      <c r="U120" s="91"/>
      <c r="V120" s="99">
        <f t="shared" si="4"/>
        <v>5.9130000000000003</v>
      </c>
      <c r="W120" s="34"/>
      <c r="X120" s="34"/>
      <c r="Y120" s="34"/>
      <c r="Z120" s="34"/>
      <c r="AA120" s="34"/>
      <c r="AB120" s="34"/>
      <c r="AC120" s="34"/>
      <c r="AD120" s="34"/>
      <c r="AE120" s="34"/>
      <c r="AF120" s="34"/>
      <c r="AG120" s="34"/>
      <c r="AH120" s="34"/>
      <c r="AI120" s="34" t="s">
        <v>305</v>
      </c>
      <c r="AJ120" s="34"/>
      <c r="AK120" s="34"/>
      <c r="AL120" s="34"/>
      <c r="AM120" s="34"/>
      <c r="AN120" s="34"/>
      <c r="AO120" s="34"/>
      <c r="AP120" s="34"/>
      <c r="AQ120" s="34"/>
      <c r="AR120" s="34"/>
      <c r="AS120" s="34"/>
      <c r="AT120" s="34"/>
      <c r="AU120" s="34"/>
      <c r="AV120" s="34"/>
      <c r="AW120" s="34"/>
      <c r="AX120" s="34"/>
      <c r="AY120" s="34"/>
      <c r="AZ120" s="34"/>
      <c r="BA120" s="5"/>
    </row>
    <row r="121" spans="1:53" ht="15.75" thickBot="1" x14ac:dyDescent="0.3">
      <c r="A121" s="24" t="s">
        <v>306</v>
      </c>
      <c r="B121" s="24" t="s">
        <v>306</v>
      </c>
      <c r="C121" s="24" t="s">
        <v>306</v>
      </c>
      <c r="D121" s="24" t="s">
        <v>306</v>
      </c>
      <c r="E121" s="24" t="s">
        <v>305</v>
      </c>
      <c r="F121" s="24" t="s">
        <v>306</v>
      </c>
      <c r="G121" s="24" t="s">
        <v>306</v>
      </c>
      <c r="H121" s="24" t="s">
        <v>306</v>
      </c>
      <c r="I121" s="24" t="s">
        <v>306</v>
      </c>
      <c r="J121" s="5" t="s">
        <v>25</v>
      </c>
      <c r="K121" s="5" t="s">
        <v>395</v>
      </c>
      <c r="L121" s="5" t="s">
        <v>115</v>
      </c>
      <c r="M121" s="5" t="s">
        <v>113</v>
      </c>
      <c r="N121" s="5" t="s">
        <v>392</v>
      </c>
      <c r="O121" s="5">
        <v>1E-3</v>
      </c>
      <c r="P121" s="91"/>
      <c r="Q121" s="91"/>
      <c r="R121" s="286">
        <v>0.98485</v>
      </c>
      <c r="S121" s="91"/>
      <c r="T121" s="91"/>
      <c r="U121" s="91"/>
      <c r="V121" s="99">
        <f t="shared" si="4"/>
        <v>0.98499999999999999</v>
      </c>
      <c r="W121" s="34"/>
      <c r="X121" s="34"/>
      <c r="Y121" s="34"/>
      <c r="Z121" s="34"/>
      <c r="AA121" s="34"/>
      <c r="AB121" s="34"/>
      <c r="AC121" s="34"/>
      <c r="AD121" s="34"/>
      <c r="AE121" s="34"/>
      <c r="AF121" s="34"/>
      <c r="AG121" s="34"/>
      <c r="AH121" s="34"/>
      <c r="AI121" s="34" t="s">
        <v>305</v>
      </c>
      <c r="AJ121" s="34"/>
      <c r="AK121" s="34"/>
      <c r="AL121" s="34"/>
      <c r="AM121" s="34"/>
      <c r="AN121" s="34"/>
      <c r="AO121" s="34"/>
      <c r="AP121" s="34"/>
      <c r="AQ121" s="34"/>
      <c r="AR121" s="34"/>
      <c r="AS121" s="34"/>
      <c r="AT121" s="34"/>
      <c r="AU121" s="34"/>
      <c r="AV121" s="34"/>
      <c r="AW121" s="34"/>
      <c r="AX121" s="34"/>
      <c r="AY121" s="34"/>
      <c r="AZ121" s="34"/>
      <c r="BA121" s="5"/>
    </row>
    <row r="122" spans="1:53" ht="15.75" thickBot="1" x14ac:dyDescent="0.3">
      <c r="A122" s="24" t="s">
        <v>306</v>
      </c>
      <c r="B122" s="24" t="s">
        <v>306</v>
      </c>
      <c r="C122" s="24" t="s">
        <v>306</v>
      </c>
      <c r="D122" s="24" t="s">
        <v>306</v>
      </c>
      <c r="E122" s="24" t="s">
        <v>305</v>
      </c>
      <c r="F122" s="24" t="s">
        <v>306</v>
      </c>
      <c r="G122" s="24" t="s">
        <v>306</v>
      </c>
      <c r="H122" s="24" t="s">
        <v>306</v>
      </c>
      <c r="I122" s="24" t="s">
        <v>306</v>
      </c>
      <c r="J122" s="5" t="s">
        <v>25</v>
      </c>
      <c r="K122" s="5" t="s">
        <v>395</v>
      </c>
      <c r="L122" s="5" t="s">
        <v>112</v>
      </c>
      <c r="M122" s="5" t="s">
        <v>113</v>
      </c>
      <c r="N122" s="5" t="s">
        <v>392</v>
      </c>
      <c r="O122" s="5">
        <v>1E-3</v>
      </c>
      <c r="P122" s="91"/>
      <c r="Q122" s="91"/>
      <c r="R122" s="286">
        <v>1.23393</v>
      </c>
      <c r="S122" s="91"/>
      <c r="T122" s="91"/>
      <c r="U122" s="91"/>
      <c r="V122" s="99">
        <f t="shared" si="4"/>
        <v>1.234</v>
      </c>
      <c r="W122" s="34"/>
      <c r="X122" s="34"/>
      <c r="Y122" s="34"/>
      <c r="Z122" s="34"/>
      <c r="AA122" s="34"/>
      <c r="AB122" s="34"/>
      <c r="AC122" s="34"/>
      <c r="AD122" s="34"/>
      <c r="AE122" s="34"/>
      <c r="AF122" s="34"/>
      <c r="AG122" s="34"/>
      <c r="AH122" s="34"/>
      <c r="AI122" s="34" t="s">
        <v>305</v>
      </c>
      <c r="AJ122" s="34"/>
      <c r="AK122" s="34"/>
      <c r="AL122" s="34"/>
      <c r="AM122" s="34"/>
      <c r="AN122" s="34"/>
      <c r="AO122" s="34"/>
      <c r="AP122" s="34"/>
      <c r="AQ122" s="34"/>
      <c r="AR122" s="34"/>
      <c r="AS122" s="34"/>
      <c r="AT122" s="34"/>
      <c r="AU122" s="34"/>
      <c r="AV122" s="34"/>
      <c r="AW122" s="34"/>
      <c r="AX122" s="34"/>
      <c r="AY122" s="34"/>
      <c r="AZ122" s="34"/>
      <c r="BA122" s="5"/>
    </row>
    <row r="123" spans="1:53" ht="15.75" thickBot="1" x14ac:dyDescent="0.3">
      <c r="A123" s="24" t="s">
        <v>306</v>
      </c>
      <c r="B123" s="24" t="s">
        <v>306</v>
      </c>
      <c r="C123" s="24" t="s">
        <v>306</v>
      </c>
      <c r="D123" s="24" t="s">
        <v>306</v>
      </c>
      <c r="E123" s="24" t="s">
        <v>305</v>
      </c>
      <c r="F123" s="24" t="s">
        <v>306</v>
      </c>
      <c r="G123" s="24" t="s">
        <v>306</v>
      </c>
      <c r="H123" s="24" t="s">
        <v>306</v>
      </c>
      <c r="I123" s="24" t="s">
        <v>306</v>
      </c>
      <c r="J123" s="5" t="s">
        <v>25</v>
      </c>
      <c r="K123" s="5" t="s">
        <v>396</v>
      </c>
      <c r="L123" s="5" t="s">
        <v>115</v>
      </c>
      <c r="M123" s="5" t="s">
        <v>113</v>
      </c>
      <c r="N123" s="5" t="s">
        <v>392</v>
      </c>
      <c r="O123" s="5">
        <v>1E-3</v>
      </c>
      <c r="P123" s="91"/>
      <c r="Q123" s="91"/>
      <c r="R123" s="286">
        <v>0.98485</v>
      </c>
      <c r="S123" s="91"/>
      <c r="T123" s="91"/>
      <c r="U123" s="91"/>
      <c r="V123" s="99">
        <f t="shared" si="4"/>
        <v>0.98499999999999999</v>
      </c>
      <c r="W123" s="34"/>
      <c r="X123" s="34"/>
      <c r="Y123" s="34"/>
      <c r="Z123" s="34"/>
      <c r="AA123" s="34"/>
      <c r="AB123" s="34"/>
      <c r="AC123" s="34"/>
      <c r="AD123" s="34"/>
      <c r="AE123" s="34"/>
      <c r="AF123" s="34"/>
      <c r="AG123" s="34"/>
      <c r="AH123" s="34"/>
      <c r="AI123" s="34" t="s">
        <v>305</v>
      </c>
      <c r="AJ123" s="34"/>
      <c r="AK123" s="34"/>
      <c r="AL123" s="34"/>
      <c r="AM123" s="34"/>
      <c r="AN123" s="34"/>
      <c r="AO123" s="34"/>
      <c r="AP123" s="34"/>
      <c r="AQ123" s="34"/>
      <c r="AR123" s="34"/>
      <c r="AS123" s="34"/>
      <c r="AT123" s="34"/>
      <c r="AU123" s="34"/>
      <c r="AV123" s="34"/>
      <c r="AW123" s="34"/>
      <c r="AX123" s="34"/>
      <c r="AY123" s="34"/>
      <c r="AZ123" s="34"/>
      <c r="BA123" s="5"/>
    </row>
    <row r="124" spans="1:53" ht="15.75" thickBot="1" x14ac:dyDescent="0.3">
      <c r="A124" s="24" t="s">
        <v>306</v>
      </c>
      <c r="B124" s="24" t="s">
        <v>306</v>
      </c>
      <c r="C124" s="24" t="s">
        <v>306</v>
      </c>
      <c r="D124" s="24" t="s">
        <v>306</v>
      </c>
      <c r="E124" s="24" t="s">
        <v>305</v>
      </c>
      <c r="F124" s="24" t="s">
        <v>306</v>
      </c>
      <c r="G124" s="24" t="s">
        <v>306</v>
      </c>
      <c r="H124" s="24" t="s">
        <v>306</v>
      </c>
      <c r="I124" s="24" t="s">
        <v>306</v>
      </c>
      <c r="J124" s="5" t="s">
        <v>25</v>
      </c>
      <c r="K124" s="5" t="s">
        <v>396</v>
      </c>
      <c r="L124" s="5" t="s">
        <v>112</v>
      </c>
      <c r="M124" s="5" t="s">
        <v>113</v>
      </c>
      <c r="N124" s="5" t="s">
        <v>392</v>
      </c>
      <c r="O124" s="5">
        <v>1E-3</v>
      </c>
      <c r="P124" s="91"/>
      <c r="Q124" s="91"/>
      <c r="R124" s="286">
        <v>1.23393</v>
      </c>
      <c r="S124" s="91"/>
      <c r="T124" s="91"/>
      <c r="U124" s="91"/>
      <c r="V124" s="99">
        <f t="shared" si="4"/>
        <v>1.234</v>
      </c>
      <c r="W124" s="34"/>
      <c r="X124" s="34"/>
      <c r="Y124" s="34"/>
      <c r="Z124" s="34"/>
      <c r="AA124" s="34"/>
      <c r="AB124" s="34"/>
      <c r="AC124" s="34"/>
      <c r="AD124" s="34"/>
      <c r="AE124" s="34"/>
      <c r="AF124" s="34"/>
      <c r="AG124" s="34"/>
      <c r="AH124" s="34"/>
      <c r="AI124" s="34" t="s">
        <v>305</v>
      </c>
      <c r="AJ124" s="34"/>
      <c r="AK124" s="34"/>
      <c r="AL124" s="34"/>
      <c r="AM124" s="34"/>
      <c r="AN124" s="34"/>
      <c r="AO124" s="34"/>
      <c r="AP124" s="34"/>
      <c r="AQ124" s="34"/>
      <c r="AR124" s="34"/>
      <c r="AS124" s="34"/>
      <c r="AT124" s="34"/>
      <c r="AU124" s="34"/>
      <c r="AV124" s="34"/>
      <c r="AW124" s="34"/>
      <c r="AX124" s="34"/>
      <c r="AY124" s="34"/>
      <c r="AZ124" s="34"/>
      <c r="BA124" s="5"/>
    </row>
    <row r="125" spans="1:53" ht="15.75" thickBot="1" x14ac:dyDescent="0.3">
      <c r="A125" s="24" t="s">
        <v>306</v>
      </c>
      <c r="B125" s="24" t="s">
        <v>306</v>
      </c>
      <c r="C125" s="24" t="s">
        <v>306</v>
      </c>
      <c r="D125" s="24" t="s">
        <v>306</v>
      </c>
      <c r="E125" s="24" t="s">
        <v>305</v>
      </c>
      <c r="F125" s="24" t="s">
        <v>306</v>
      </c>
      <c r="G125" s="24" t="s">
        <v>306</v>
      </c>
      <c r="H125" s="24" t="s">
        <v>306</v>
      </c>
      <c r="I125" s="24" t="s">
        <v>306</v>
      </c>
      <c r="J125" s="5" t="s">
        <v>25</v>
      </c>
      <c r="K125" s="5" t="s">
        <v>397</v>
      </c>
      <c r="L125" s="5" t="s">
        <v>115</v>
      </c>
      <c r="M125" s="5" t="s">
        <v>113</v>
      </c>
      <c r="N125" s="5" t="s">
        <v>392</v>
      </c>
      <c r="O125" s="5">
        <v>1E-3</v>
      </c>
      <c r="P125" s="91"/>
      <c r="Q125" s="91"/>
      <c r="R125" s="286">
        <v>0.98485</v>
      </c>
      <c r="S125" s="91"/>
      <c r="T125" s="91"/>
      <c r="U125" s="91"/>
      <c r="V125" s="99">
        <f t="shared" si="4"/>
        <v>0.98499999999999999</v>
      </c>
      <c r="W125" s="34"/>
      <c r="X125" s="34"/>
      <c r="Y125" s="34"/>
      <c r="Z125" s="34"/>
      <c r="AA125" s="34"/>
      <c r="AB125" s="34"/>
      <c r="AC125" s="34"/>
      <c r="AD125" s="34"/>
      <c r="AE125" s="34"/>
      <c r="AF125" s="34"/>
      <c r="AG125" s="34"/>
      <c r="AH125" s="34"/>
      <c r="AI125" s="34" t="s">
        <v>305</v>
      </c>
      <c r="AJ125" s="34"/>
      <c r="AK125" s="34"/>
      <c r="AL125" s="34"/>
      <c r="AM125" s="34"/>
      <c r="AN125" s="34"/>
      <c r="AO125" s="34"/>
      <c r="AP125" s="34"/>
      <c r="AQ125" s="34"/>
      <c r="AR125" s="34"/>
      <c r="AS125" s="34"/>
      <c r="AT125" s="34"/>
      <c r="AU125" s="34"/>
      <c r="AV125" s="34"/>
      <c r="AW125" s="34"/>
      <c r="AX125" s="34"/>
      <c r="AY125" s="34"/>
      <c r="AZ125" s="34"/>
      <c r="BA125" s="5"/>
    </row>
    <row r="126" spans="1:53" ht="15.75" thickBot="1" x14ac:dyDescent="0.3">
      <c r="A126" s="24" t="s">
        <v>306</v>
      </c>
      <c r="B126" s="24" t="s">
        <v>306</v>
      </c>
      <c r="C126" s="24" t="s">
        <v>306</v>
      </c>
      <c r="D126" s="24" t="s">
        <v>306</v>
      </c>
      <c r="E126" s="24" t="s">
        <v>305</v>
      </c>
      <c r="F126" s="24" t="s">
        <v>306</v>
      </c>
      <c r="G126" s="24" t="s">
        <v>306</v>
      </c>
      <c r="H126" s="24" t="s">
        <v>306</v>
      </c>
      <c r="I126" s="24" t="s">
        <v>306</v>
      </c>
      <c r="J126" s="5" t="s">
        <v>25</v>
      </c>
      <c r="K126" s="5" t="s">
        <v>397</v>
      </c>
      <c r="L126" s="5" t="s">
        <v>112</v>
      </c>
      <c r="M126" s="5" t="s">
        <v>113</v>
      </c>
      <c r="N126" s="5" t="s">
        <v>392</v>
      </c>
      <c r="O126" s="5">
        <v>1E-3</v>
      </c>
      <c r="P126" s="91"/>
      <c r="Q126" s="91"/>
      <c r="R126" s="286">
        <v>1.23393</v>
      </c>
      <c r="S126" s="91"/>
      <c r="T126" s="91"/>
      <c r="U126" s="91"/>
      <c r="V126" s="99">
        <f t="shared" si="4"/>
        <v>1.234</v>
      </c>
      <c r="W126" s="34"/>
      <c r="X126" s="34"/>
      <c r="Y126" s="34"/>
      <c r="Z126" s="34"/>
      <c r="AA126" s="34"/>
      <c r="AB126" s="34"/>
      <c r="AC126" s="34"/>
      <c r="AD126" s="34"/>
      <c r="AE126" s="34"/>
      <c r="AF126" s="34"/>
      <c r="AG126" s="34"/>
      <c r="AH126" s="34"/>
      <c r="AI126" s="34" t="s">
        <v>305</v>
      </c>
      <c r="AJ126" s="34"/>
      <c r="AK126" s="34"/>
      <c r="AL126" s="34"/>
      <c r="AM126" s="34"/>
      <c r="AN126" s="34"/>
      <c r="AO126" s="34"/>
      <c r="AP126" s="34"/>
      <c r="AQ126" s="34"/>
      <c r="AR126" s="34"/>
      <c r="AS126" s="34"/>
      <c r="AT126" s="34"/>
      <c r="AU126" s="34"/>
      <c r="AV126" s="34"/>
      <c r="AW126" s="34"/>
      <c r="AX126" s="34"/>
      <c r="AY126" s="34"/>
      <c r="AZ126" s="34"/>
      <c r="BA126" s="5"/>
    </row>
    <row r="127" spans="1:53" ht="15.75" thickBot="1" x14ac:dyDescent="0.3">
      <c r="A127" s="24" t="s">
        <v>306</v>
      </c>
      <c r="B127" s="24" t="s">
        <v>306</v>
      </c>
      <c r="C127" s="24" t="s">
        <v>306</v>
      </c>
      <c r="D127" s="24" t="s">
        <v>306</v>
      </c>
      <c r="E127" s="24" t="s">
        <v>305</v>
      </c>
      <c r="F127" s="24" t="s">
        <v>306</v>
      </c>
      <c r="G127" s="24" t="s">
        <v>306</v>
      </c>
      <c r="H127" s="24" t="s">
        <v>306</v>
      </c>
      <c r="I127" s="24" t="s">
        <v>306</v>
      </c>
      <c r="J127" s="5" t="s">
        <v>25</v>
      </c>
      <c r="K127" s="5" t="s">
        <v>398</v>
      </c>
      <c r="L127" s="5" t="s">
        <v>115</v>
      </c>
      <c r="M127" s="5" t="s">
        <v>113</v>
      </c>
      <c r="N127" s="5" t="s">
        <v>392</v>
      </c>
      <c r="O127" s="5">
        <v>1E-3</v>
      </c>
      <c r="P127" s="91"/>
      <c r="Q127" s="91"/>
      <c r="R127" s="286">
        <v>0.98485</v>
      </c>
      <c r="S127" s="91"/>
      <c r="T127" s="91"/>
      <c r="U127" s="91"/>
      <c r="V127" s="99">
        <f t="shared" si="4"/>
        <v>0.98499999999999999</v>
      </c>
      <c r="W127" s="34"/>
      <c r="X127" s="34"/>
      <c r="Y127" s="34"/>
      <c r="Z127" s="34"/>
      <c r="AA127" s="34"/>
      <c r="AB127" s="34"/>
      <c r="AC127" s="34"/>
      <c r="AD127" s="34"/>
      <c r="AE127" s="34"/>
      <c r="AF127" s="34"/>
      <c r="AG127" s="34"/>
      <c r="AH127" s="34"/>
      <c r="AI127" s="34" t="s">
        <v>305</v>
      </c>
      <c r="AJ127" s="34"/>
      <c r="AK127" s="34"/>
      <c r="AL127" s="34"/>
      <c r="AM127" s="34"/>
      <c r="AN127" s="34"/>
      <c r="AO127" s="34"/>
      <c r="AP127" s="34"/>
      <c r="AQ127" s="34"/>
      <c r="AR127" s="34"/>
      <c r="AS127" s="34"/>
      <c r="AT127" s="34"/>
      <c r="AU127" s="34"/>
      <c r="AV127" s="34"/>
      <c r="AW127" s="34"/>
      <c r="AX127" s="34"/>
      <c r="AY127" s="34"/>
      <c r="AZ127" s="34"/>
      <c r="BA127" s="5"/>
    </row>
    <row r="128" spans="1:53" ht="15.75" thickBot="1" x14ac:dyDescent="0.3">
      <c r="A128" s="24" t="s">
        <v>306</v>
      </c>
      <c r="B128" s="24" t="s">
        <v>306</v>
      </c>
      <c r="C128" s="24" t="s">
        <v>306</v>
      </c>
      <c r="D128" s="24" t="s">
        <v>306</v>
      </c>
      <c r="E128" s="24" t="s">
        <v>305</v>
      </c>
      <c r="F128" s="24" t="s">
        <v>306</v>
      </c>
      <c r="G128" s="24" t="s">
        <v>306</v>
      </c>
      <c r="H128" s="24" t="s">
        <v>306</v>
      </c>
      <c r="I128" s="24" t="s">
        <v>306</v>
      </c>
      <c r="J128" s="5" t="s">
        <v>25</v>
      </c>
      <c r="K128" s="5" t="s">
        <v>398</v>
      </c>
      <c r="L128" s="5" t="s">
        <v>112</v>
      </c>
      <c r="M128" s="5" t="s">
        <v>113</v>
      </c>
      <c r="N128" s="5" t="s">
        <v>392</v>
      </c>
      <c r="O128" s="5">
        <v>1E-3</v>
      </c>
      <c r="P128" s="91"/>
      <c r="Q128" s="91"/>
      <c r="R128" s="286">
        <v>1.23393</v>
      </c>
      <c r="S128" s="91"/>
      <c r="T128" s="91"/>
      <c r="U128" s="91"/>
      <c r="V128" s="99">
        <f t="shared" si="4"/>
        <v>1.234</v>
      </c>
      <c r="W128" s="34"/>
      <c r="X128" s="34"/>
      <c r="Y128" s="34"/>
      <c r="Z128" s="34"/>
      <c r="AA128" s="34"/>
      <c r="AB128" s="34"/>
      <c r="AC128" s="34"/>
      <c r="AD128" s="34"/>
      <c r="AE128" s="34"/>
      <c r="AF128" s="34"/>
      <c r="AG128" s="34"/>
      <c r="AH128" s="34"/>
      <c r="AI128" s="34" t="s">
        <v>305</v>
      </c>
      <c r="AJ128" s="34"/>
      <c r="AK128" s="34"/>
      <c r="AL128" s="34"/>
      <c r="AM128" s="34"/>
      <c r="AN128" s="34"/>
      <c r="AO128" s="34"/>
      <c r="AP128" s="34"/>
      <c r="AQ128" s="34"/>
      <c r="AR128" s="34"/>
      <c r="AS128" s="34"/>
      <c r="AT128" s="34"/>
      <c r="AU128" s="34"/>
      <c r="AV128" s="34"/>
      <c r="AW128" s="34"/>
      <c r="AX128" s="34"/>
      <c r="AY128" s="34"/>
      <c r="AZ128" s="34"/>
      <c r="BA128" s="5"/>
    </row>
    <row r="129" spans="1:53" ht="15.75" thickBot="1" x14ac:dyDescent="0.3">
      <c r="A129" s="24" t="s">
        <v>306</v>
      </c>
      <c r="B129" s="24" t="s">
        <v>306</v>
      </c>
      <c r="C129" s="24" t="s">
        <v>306</v>
      </c>
      <c r="D129" s="24" t="s">
        <v>306</v>
      </c>
      <c r="E129" s="24" t="s">
        <v>305</v>
      </c>
      <c r="F129" s="24" t="s">
        <v>306</v>
      </c>
      <c r="G129" s="24" t="s">
        <v>306</v>
      </c>
      <c r="H129" s="24" t="s">
        <v>306</v>
      </c>
      <c r="I129" s="24" t="s">
        <v>306</v>
      </c>
      <c r="J129" s="5" t="s">
        <v>25</v>
      </c>
      <c r="K129" s="5" t="s">
        <v>399</v>
      </c>
      <c r="L129" s="5" t="s">
        <v>115</v>
      </c>
      <c r="M129" s="5" t="s">
        <v>113</v>
      </c>
      <c r="N129" s="5" t="s">
        <v>392</v>
      </c>
      <c r="O129" s="5">
        <v>1E-3</v>
      </c>
      <c r="P129" s="91"/>
      <c r="Q129" s="91"/>
      <c r="R129" s="286">
        <v>0.98485</v>
      </c>
      <c r="S129" s="91"/>
      <c r="T129" s="91"/>
      <c r="U129" s="91"/>
      <c r="V129" s="99">
        <f t="shared" si="4"/>
        <v>0.98499999999999999</v>
      </c>
      <c r="W129" s="34"/>
      <c r="X129" s="34"/>
      <c r="Y129" s="34"/>
      <c r="Z129" s="34"/>
      <c r="AA129" s="34"/>
      <c r="AB129" s="34"/>
      <c r="AC129" s="34"/>
      <c r="AD129" s="34"/>
      <c r="AE129" s="34"/>
      <c r="AF129" s="34"/>
      <c r="AG129" s="34"/>
      <c r="AH129" s="34"/>
      <c r="AI129" s="34" t="s">
        <v>305</v>
      </c>
      <c r="AJ129" s="34"/>
      <c r="AK129" s="34"/>
      <c r="AL129" s="34"/>
      <c r="AM129" s="34"/>
      <c r="AN129" s="34"/>
      <c r="AO129" s="34"/>
      <c r="AP129" s="34"/>
      <c r="AQ129" s="34"/>
      <c r="AR129" s="34"/>
      <c r="AS129" s="34"/>
      <c r="AT129" s="34"/>
      <c r="AU129" s="34"/>
      <c r="AV129" s="34"/>
      <c r="AW129" s="34"/>
      <c r="AX129" s="34"/>
      <c r="AY129" s="34"/>
      <c r="AZ129" s="34"/>
      <c r="BA129" s="5"/>
    </row>
    <row r="130" spans="1:53" ht="15.75" thickBot="1" x14ac:dyDescent="0.3">
      <c r="A130" s="24" t="s">
        <v>306</v>
      </c>
      <c r="B130" s="24" t="s">
        <v>306</v>
      </c>
      <c r="C130" s="24" t="s">
        <v>306</v>
      </c>
      <c r="D130" s="24" t="s">
        <v>306</v>
      </c>
      <c r="E130" s="24" t="s">
        <v>305</v>
      </c>
      <c r="F130" s="24" t="s">
        <v>306</v>
      </c>
      <c r="G130" s="24" t="s">
        <v>306</v>
      </c>
      <c r="H130" s="24" t="s">
        <v>306</v>
      </c>
      <c r="I130" s="24" t="s">
        <v>306</v>
      </c>
      <c r="J130" s="5" t="s">
        <v>25</v>
      </c>
      <c r="K130" s="5" t="s">
        <v>399</v>
      </c>
      <c r="L130" s="5" t="s">
        <v>112</v>
      </c>
      <c r="M130" s="5" t="s">
        <v>113</v>
      </c>
      <c r="N130" s="5" t="s">
        <v>392</v>
      </c>
      <c r="O130" s="5">
        <v>1E-3</v>
      </c>
      <c r="P130" s="91"/>
      <c r="Q130" s="91"/>
      <c r="R130" s="286">
        <v>0.98485</v>
      </c>
      <c r="S130" s="91"/>
      <c r="T130" s="91"/>
      <c r="U130" s="91"/>
      <c r="V130" s="99">
        <f t="shared" si="4"/>
        <v>0.98499999999999999</v>
      </c>
      <c r="W130" s="34"/>
      <c r="X130" s="34"/>
      <c r="Y130" s="34"/>
      <c r="Z130" s="34"/>
      <c r="AA130" s="34"/>
      <c r="AB130" s="34"/>
      <c r="AC130" s="34"/>
      <c r="AD130" s="34"/>
      <c r="AE130" s="34"/>
      <c r="AF130" s="34"/>
      <c r="AG130" s="34"/>
      <c r="AH130" s="34"/>
      <c r="AI130" s="34" t="s">
        <v>305</v>
      </c>
      <c r="AJ130" s="34"/>
      <c r="AK130" s="34"/>
      <c r="AL130" s="34"/>
      <c r="AM130" s="34"/>
      <c r="AN130" s="34"/>
      <c r="AO130" s="34"/>
      <c r="AP130" s="34"/>
      <c r="AQ130" s="34"/>
      <c r="AR130" s="34"/>
      <c r="AS130" s="34"/>
      <c r="AT130" s="34"/>
      <c r="AU130" s="34"/>
      <c r="AV130" s="34"/>
      <c r="AW130" s="34"/>
      <c r="AX130" s="34"/>
      <c r="AY130" s="34"/>
      <c r="AZ130" s="34"/>
      <c r="BA130" s="5"/>
    </row>
    <row r="131" spans="1:53" ht="15.75" thickBot="1" x14ac:dyDescent="0.3">
      <c r="A131" s="24" t="s">
        <v>306</v>
      </c>
      <c r="B131" s="24" t="s">
        <v>306</v>
      </c>
      <c r="C131" s="24" t="s">
        <v>306</v>
      </c>
      <c r="D131" s="24" t="s">
        <v>306</v>
      </c>
      <c r="E131" s="24" t="s">
        <v>305</v>
      </c>
      <c r="F131" s="24" t="s">
        <v>306</v>
      </c>
      <c r="G131" s="24" t="s">
        <v>306</v>
      </c>
      <c r="H131" s="24" t="s">
        <v>306</v>
      </c>
      <c r="I131" s="24" t="s">
        <v>306</v>
      </c>
      <c r="J131" s="5" t="s">
        <v>25</v>
      </c>
      <c r="K131" s="5" t="s">
        <v>400</v>
      </c>
      <c r="L131" s="5" t="s">
        <v>115</v>
      </c>
      <c r="M131" s="5" t="s">
        <v>113</v>
      </c>
      <c r="N131" s="5" t="s">
        <v>392</v>
      </c>
      <c r="O131" s="5">
        <v>1E-3</v>
      </c>
      <c r="P131" s="91"/>
      <c r="Q131" s="91"/>
      <c r="R131" s="286">
        <v>0.98485</v>
      </c>
      <c r="S131" s="91"/>
      <c r="T131" s="91"/>
      <c r="U131" s="91"/>
      <c r="V131" s="99">
        <f t="shared" si="4"/>
        <v>0.98499999999999999</v>
      </c>
      <c r="W131" s="34"/>
      <c r="X131" s="34"/>
      <c r="Y131" s="34"/>
      <c r="Z131" s="34"/>
      <c r="AA131" s="34"/>
      <c r="AB131" s="34"/>
      <c r="AC131" s="34"/>
      <c r="AD131" s="34"/>
      <c r="AE131" s="34"/>
      <c r="AF131" s="34"/>
      <c r="AG131" s="34"/>
      <c r="AH131" s="34"/>
      <c r="AI131" s="34" t="s">
        <v>305</v>
      </c>
      <c r="AJ131" s="34"/>
      <c r="AK131" s="34"/>
      <c r="AL131" s="34"/>
      <c r="AM131" s="34"/>
      <c r="AN131" s="34"/>
      <c r="AO131" s="34"/>
      <c r="AP131" s="34"/>
      <c r="AQ131" s="34"/>
      <c r="AR131" s="34"/>
      <c r="AS131" s="34"/>
      <c r="AT131" s="34"/>
      <c r="AU131" s="34"/>
      <c r="AV131" s="34"/>
      <c r="AW131" s="34"/>
      <c r="AX131" s="34"/>
      <c r="AY131" s="34"/>
      <c r="AZ131" s="34"/>
      <c r="BA131" s="5"/>
    </row>
    <row r="132" spans="1:53" ht="15.75" thickBot="1" x14ac:dyDescent="0.3">
      <c r="A132" s="24" t="s">
        <v>306</v>
      </c>
      <c r="B132" s="24" t="s">
        <v>306</v>
      </c>
      <c r="C132" s="24" t="s">
        <v>306</v>
      </c>
      <c r="D132" s="24" t="s">
        <v>306</v>
      </c>
      <c r="E132" s="24" t="s">
        <v>305</v>
      </c>
      <c r="F132" s="24" t="s">
        <v>306</v>
      </c>
      <c r="G132" s="24" t="s">
        <v>306</v>
      </c>
      <c r="H132" s="24" t="s">
        <v>306</v>
      </c>
      <c r="I132" s="24" t="s">
        <v>306</v>
      </c>
      <c r="J132" s="5" t="s">
        <v>25</v>
      </c>
      <c r="K132" s="5" t="s">
        <v>400</v>
      </c>
      <c r="L132" s="5" t="s">
        <v>112</v>
      </c>
      <c r="M132" s="5" t="s">
        <v>113</v>
      </c>
      <c r="N132" s="5" t="s">
        <v>392</v>
      </c>
      <c r="O132" s="5">
        <v>1E-3</v>
      </c>
      <c r="P132" s="91"/>
      <c r="Q132" s="91"/>
      <c r="R132" s="286">
        <v>19.51726</v>
      </c>
      <c r="S132" s="91"/>
      <c r="T132" s="91"/>
      <c r="U132" s="91"/>
      <c r="V132" s="99">
        <f t="shared" si="4"/>
        <v>19.516999999999999</v>
      </c>
      <c r="W132" s="34"/>
      <c r="X132" s="34"/>
      <c r="Y132" s="34"/>
      <c r="Z132" s="34"/>
      <c r="AA132" s="34"/>
      <c r="AB132" s="34"/>
      <c r="AC132" s="34"/>
      <c r="AD132" s="34"/>
      <c r="AE132" s="34"/>
      <c r="AF132" s="34"/>
      <c r="AG132" s="34"/>
      <c r="AH132" s="34"/>
      <c r="AI132" s="34" t="s">
        <v>305</v>
      </c>
      <c r="AJ132" s="34"/>
      <c r="AK132" s="34"/>
      <c r="AL132" s="34"/>
      <c r="AM132" s="34"/>
      <c r="AN132" s="34"/>
      <c r="AO132" s="34"/>
      <c r="AP132" s="34"/>
      <c r="AQ132" s="34"/>
      <c r="AR132" s="34"/>
      <c r="AS132" s="34"/>
      <c r="AT132" s="34"/>
      <c r="AU132" s="34"/>
      <c r="AV132" s="34"/>
      <c r="AW132" s="34"/>
      <c r="AX132" s="34"/>
      <c r="AY132" s="34"/>
      <c r="AZ132" s="34"/>
      <c r="BA132" s="5"/>
    </row>
    <row r="133" spans="1:53" ht="15.75" thickBot="1" x14ac:dyDescent="0.3">
      <c r="A133" s="24" t="s">
        <v>306</v>
      </c>
      <c r="B133" s="24" t="s">
        <v>306</v>
      </c>
      <c r="C133" s="24" t="s">
        <v>306</v>
      </c>
      <c r="D133" s="24" t="s">
        <v>306</v>
      </c>
      <c r="E133" s="24" t="s">
        <v>305</v>
      </c>
      <c r="F133" s="24" t="s">
        <v>306</v>
      </c>
      <c r="G133" s="24" t="s">
        <v>306</v>
      </c>
      <c r="H133" s="24" t="s">
        <v>306</v>
      </c>
      <c r="I133" s="24" t="s">
        <v>306</v>
      </c>
      <c r="J133" s="5" t="s">
        <v>25</v>
      </c>
      <c r="K133" s="5" t="s">
        <v>401</v>
      </c>
      <c r="L133" s="5" t="s">
        <v>115</v>
      </c>
      <c r="M133" s="5" t="s">
        <v>113</v>
      </c>
      <c r="N133" s="5" t="s">
        <v>392</v>
      </c>
      <c r="O133" s="5">
        <v>1E-3</v>
      </c>
      <c r="P133" s="91"/>
      <c r="Q133" s="91"/>
      <c r="R133" s="286">
        <v>6.4106100000000001</v>
      </c>
      <c r="S133" s="91"/>
      <c r="T133" s="91"/>
      <c r="U133" s="91"/>
      <c r="V133" s="99">
        <f t="shared" si="4"/>
        <v>6.4109999999999996</v>
      </c>
      <c r="W133" s="34"/>
      <c r="X133" s="34"/>
      <c r="Y133" s="34"/>
      <c r="Z133" s="34"/>
      <c r="AA133" s="34"/>
      <c r="AB133" s="34"/>
      <c r="AC133" s="34"/>
      <c r="AD133" s="34"/>
      <c r="AE133" s="34"/>
      <c r="AF133" s="34"/>
      <c r="AG133" s="34"/>
      <c r="AH133" s="34"/>
      <c r="AI133" s="34" t="s">
        <v>305</v>
      </c>
      <c r="AJ133" s="34"/>
      <c r="AK133" s="34"/>
      <c r="AL133" s="34"/>
      <c r="AM133" s="34"/>
      <c r="AN133" s="34"/>
      <c r="AO133" s="34"/>
      <c r="AP133" s="34"/>
      <c r="AQ133" s="34"/>
      <c r="AR133" s="34"/>
      <c r="AS133" s="34"/>
      <c r="AT133" s="34"/>
      <c r="AU133" s="34"/>
      <c r="AV133" s="34"/>
      <c r="AW133" s="34"/>
      <c r="AX133" s="34"/>
      <c r="AY133" s="34"/>
      <c r="AZ133" s="34"/>
      <c r="BA133" s="5"/>
    </row>
    <row r="134" spans="1:53" ht="15.75" thickBot="1" x14ac:dyDescent="0.3">
      <c r="A134" s="24" t="s">
        <v>306</v>
      </c>
      <c r="B134" s="24" t="s">
        <v>306</v>
      </c>
      <c r="C134" s="24" t="s">
        <v>306</v>
      </c>
      <c r="D134" s="24" t="s">
        <v>306</v>
      </c>
      <c r="E134" s="24" t="s">
        <v>305</v>
      </c>
      <c r="F134" s="24" t="s">
        <v>306</v>
      </c>
      <c r="G134" s="24" t="s">
        <v>306</v>
      </c>
      <c r="H134" s="24" t="s">
        <v>306</v>
      </c>
      <c r="I134" s="24" t="s">
        <v>306</v>
      </c>
      <c r="J134" s="5" t="s">
        <v>25</v>
      </c>
      <c r="K134" s="5" t="s">
        <v>401</v>
      </c>
      <c r="L134" s="5" t="s">
        <v>402</v>
      </c>
      <c r="M134" s="5" t="s">
        <v>113</v>
      </c>
      <c r="N134" s="5" t="s">
        <v>392</v>
      </c>
      <c r="O134" s="5">
        <v>1E-3</v>
      </c>
      <c r="P134" s="91"/>
      <c r="Q134" s="91"/>
      <c r="R134" s="286">
        <v>6.4106100000000001</v>
      </c>
      <c r="S134" s="91"/>
      <c r="T134" s="91"/>
      <c r="U134" s="91"/>
      <c r="V134" s="99">
        <f t="shared" si="4"/>
        <v>6.4109999999999996</v>
      </c>
      <c r="W134" s="34"/>
      <c r="X134" s="34"/>
      <c r="Y134" s="34"/>
      <c r="Z134" s="34"/>
      <c r="AA134" s="34"/>
      <c r="AB134" s="34"/>
      <c r="AC134" s="34"/>
      <c r="AD134" s="34"/>
      <c r="AE134" s="34"/>
      <c r="AF134" s="34"/>
      <c r="AG134" s="34"/>
      <c r="AH134" s="34"/>
      <c r="AI134" s="34" t="s">
        <v>305</v>
      </c>
      <c r="AJ134" s="34"/>
      <c r="AK134" s="34"/>
      <c r="AL134" s="34"/>
      <c r="AM134" s="34"/>
      <c r="AN134" s="34"/>
      <c r="AO134" s="34"/>
      <c r="AP134" s="34"/>
      <c r="AQ134" s="34"/>
      <c r="AR134" s="34"/>
      <c r="AS134" s="34"/>
      <c r="AT134" s="34"/>
      <c r="AU134" s="34"/>
      <c r="AV134" s="34"/>
      <c r="AW134" s="34"/>
      <c r="AX134" s="34"/>
      <c r="AY134" s="34"/>
      <c r="AZ134" s="34"/>
      <c r="BA134" s="5"/>
    </row>
    <row r="135" spans="1:53" ht="15.75" thickBot="1" x14ac:dyDescent="0.3">
      <c r="A135" s="24" t="s">
        <v>306</v>
      </c>
      <c r="B135" s="24" t="s">
        <v>306</v>
      </c>
      <c r="C135" s="24" t="s">
        <v>306</v>
      </c>
      <c r="D135" s="24" t="s">
        <v>306</v>
      </c>
      <c r="E135" s="24" t="s">
        <v>305</v>
      </c>
      <c r="F135" s="24" t="s">
        <v>306</v>
      </c>
      <c r="G135" s="24" t="s">
        <v>306</v>
      </c>
      <c r="H135" s="24" t="s">
        <v>306</v>
      </c>
      <c r="I135" s="24" t="s">
        <v>306</v>
      </c>
      <c r="J135" s="5" t="s">
        <v>25</v>
      </c>
      <c r="K135" s="5" t="s">
        <v>403</v>
      </c>
      <c r="L135" s="5" t="s">
        <v>115</v>
      </c>
      <c r="M135" s="5" t="s">
        <v>113</v>
      </c>
      <c r="N135" s="5" t="s">
        <v>392</v>
      </c>
      <c r="O135" s="5">
        <v>1E-3</v>
      </c>
      <c r="P135" s="91"/>
      <c r="Q135" s="91"/>
      <c r="R135" s="286">
        <v>6.4106100000000001</v>
      </c>
      <c r="S135" s="91"/>
      <c r="T135" s="91"/>
      <c r="U135" s="91"/>
      <c r="V135" s="99">
        <f t="shared" si="4"/>
        <v>6.4109999999999996</v>
      </c>
      <c r="W135" s="34"/>
      <c r="X135" s="34"/>
      <c r="Y135" s="34"/>
      <c r="Z135" s="34"/>
      <c r="AA135" s="34"/>
      <c r="AB135" s="34"/>
      <c r="AC135" s="34"/>
      <c r="AD135" s="34"/>
      <c r="AE135" s="34"/>
      <c r="AF135" s="34"/>
      <c r="AG135" s="34"/>
      <c r="AH135" s="34"/>
      <c r="AI135" s="34" t="s">
        <v>305</v>
      </c>
      <c r="AJ135" s="34"/>
      <c r="AK135" s="34"/>
      <c r="AL135" s="34"/>
      <c r="AM135" s="34"/>
      <c r="AN135" s="34"/>
      <c r="AO135" s="34"/>
      <c r="AP135" s="34"/>
      <c r="AQ135" s="34"/>
      <c r="AR135" s="34"/>
      <c r="AS135" s="34"/>
      <c r="AT135" s="34"/>
      <c r="AU135" s="34"/>
      <c r="AV135" s="34"/>
      <c r="AW135" s="34"/>
      <c r="AX135" s="34"/>
      <c r="AY135" s="34"/>
      <c r="AZ135" s="34"/>
      <c r="BA135" s="5"/>
    </row>
    <row r="136" spans="1:53" ht="15.75" thickBot="1" x14ac:dyDescent="0.3">
      <c r="A136" s="24" t="s">
        <v>306</v>
      </c>
      <c r="B136" s="24" t="s">
        <v>306</v>
      </c>
      <c r="C136" s="24" t="s">
        <v>306</v>
      </c>
      <c r="D136" s="24" t="s">
        <v>306</v>
      </c>
      <c r="E136" s="24" t="s">
        <v>305</v>
      </c>
      <c r="F136" s="24" t="s">
        <v>306</v>
      </c>
      <c r="G136" s="24" t="s">
        <v>306</v>
      </c>
      <c r="H136" s="24" t="s">
        <v>306</v>
      </c>
      <c r="I136" s="24" t="s">
        <v>306</v>
      </c>
      <c r="J136" s="5" t="s">
        <v>25</v>
      </c>
      <c r="K136" s="5" t="s">
        <v>403</v>
      </c>
      <c r="L136" s="5" t="s">
        <v>112</v>
      </c>
      <c r="M136" s="5" t="s">
        <v>113</v>
      </c>
      <c r="N136" s="5" t="s">
        <v>392</v>
      </c>
      <c r="O136" s="5">
        <v>1E-3</v>
      </c>
      <c r="P136" s="91"/>
      <c r="Q136" s="91"/>
      <c r="R136" s="286">
        <v>71.95</v>
      </c>
      <c r="S136" s="91"/>
      <c r="T136" s="91"/>
      <c r="U136" s="91"/>
      <c r="V136" s="99">
        <f t="shared" si="4"/>
        <v>71.95</v>
      </c>
      <c r="W136" s="34"/>
      <c r="X136" s="34"/>
      <c r="Y136" s="34"/>
      <c r="Z136" s="34"/>
      <c r="AA136" s="34"/>
      <c r="AB136" s="34"/>
      <c r="AC136" s="34"/>
      <c r="AD136" s="34"/>
      <c r="AE136" s="34"/>
      <c r="AF136" s="34"/>
      <c r="AG136" s="34"/>
      <c r="AH136" s="34"/>
      <c r="AI136" s="34" t="s">
        <v>305</v>
      </c>
      <c r="AJ136" s="34"/>
      <c r="AK136" s="34"/>
      <c r="AL136" s="34"/>
      <c r="AM136" s="34"/>
      <c r="AN136" s="34"/>
      <c r="AO136" s="34"/>
      <c r="AP136" s="34"/>
      <c r="AQ136" s="34"/>
      <c r="AR136" s="34"/>
      <c r="AS136" s="34"/>
      <c r="AT136" s="34"/>
      <c r="AU136" s="34"/>
      <c r="AV136" s="34"/>
      <c r="AW136" s="34"/>
      <c r="AX136" s="34"/>
      <c r="AY136" s="34"/>
      <c r="AZ136" s="34"/>
      <c r="BA136" s="5"/>
    </row>
    <row r="137" spans="1:53" ht="15.75" thickBot="1" x14ac:dyDescent="0.3">
      <c r="A137" s="24" t="s">
        <v>306</v>
      </c>
      <c r="B137" s="24" t="s">
        <v>306</v>
      </c>
      <c r="C137" s="24" t="s">
        <v>306</v>
      </c>
      <c r="D137" s="24" t="s">
        <v>306</v>
      </c>
      <c r="E137" s="24" t="s">
        <v>305</v>
      </c>
      <c r="F137" s="24" t="s">
        <v>306</v>
      </c>
      <c r="G137" s="24" t="s">
        <v>306</v>
      </c>
      <c r="H137" s="24" t="s">
        <v>306</v>
      </c>
      <c r="I137" s="24" t="s">
        <v>306</v>
      </c>
      <c r="J137" s="5" t="s">
        <v>25</v>
      </c>
      <c r="K137" s="5" t="s">
        <v>404</v>
      </c>
      <c r="L137" s="5" t="s">
        <v>115</v>
      </c>
      <c r="M137" s="5" t="s">
        <v>113</v>
      </c>
      <c r="N137" s="5" t="s">
        <v>392</v>
      </c>
      <c r="O137" s="5">
        <v>1E-3</v>
      </c>
      <c r="P137" s="91"/>
      <c r="Q137" s="91"/>
      <c r="R137" s="286">
        <v>6.4106100000000001</v>
      </c>
      <c r="S137" s="91"/>
      <c r="T137" s="91"/>
      <c r="U137" s="91"/>
      <c r="V137" s="99">
        <f t="shared" si="4"/>
        <v>6.4109999999999996</v>
      </c>
      <c r="W137" s="34"/>
      <c r="X137" s="34"/>
      <c r="Y137" s="34"/>
      <c r="Z137" s="34"/>
      <c r="AA137" s="34"/>
      <c r="AB137" s="34"/>
      <c r="AC137" s="34"/>
      <c r="AD137" s="34"/>
      <c r="AE137" s="34"/>
      <c r="AF137" s="34"/>
      <c r="AG137" s="34"/>
      <c r="AH137" s="34"/>
      <c r="AI137" s="34" t="s">
        <v>305</v>
      </c>
      <c r="AJ137" s="34"/>
      <c r="AK137" s="34"/>
      <c r="AL137" s="34"/>
      <c r="AM137" s="34"/>
      <c r="AN137" s="34"/>
      <c r="AO137" s="34"/>
      <c r="AP137" s="34"/>
      <c r="AQ137" s="34"/>
      <c r="AR137" s="34"/>
      <c r="AS137" s="34"/>
      <c r="AT137" s="34"/>
      <c r="AU137" s="34"/>
      <c r="AV137" s="34"/>
      <c r="AW137" s="34"/>
      <c r="AX137" s="34"/>
      <c r="AY137" s="34"/>
      <c r="AZ137" s="34"/>
      <c r="BA137" s="5"/>
    </row>
    <row r="138" spans="1:53" ht="15.75" thickBot="1" x14ac:dyDescent="0.3">
      <c r="A138" s="24" t="s">
        <v>306</v>
      </c>
      <c r="B138" s="24" t="s">
        <v>306</v>
      </c>
      <c r="C138" s="24" t="s">
        <v>306</v>
      </c>
      <c r="D138" s="24" t="s">
        <v>306</v>
      </c>
      <c r="E138" s="24" t="s">
        <v>305</v>
      </c>
      <c r="F138" s="24" t="s">
        <v>306</v>
      </c>
      <c r="G138" s="24" t="s">
        <v>306</v>
      </c>
      <c r="H138" s="24" t="s">
        <v>306</v>
      </c>
      <c r="I138" s="24" t="s">
        <v>306</v>
      </c>
      <c r="J138" s="5" t="s">
        <v>25</v>
      </c>
      <c r="K138" s="5" t="s">
        <v>405</v>
      </c>
      <c r="L138" s="5" t="s">
        <v>115</v>
      </c>
      <c r="M138" s="5" t="s">
        <v>113</v>
      </c>
      <c r="N138" s="5" t="s">
        <v>392</v>
      </c>
      <c r="O138" s="5">
        <v>1E-3</v>
      </c>
      <c r="P138" s="91"/>
      <c r="Q138" s="91"/>
      <c r="R138" s="286">
        <v>6.4106100000000001</v>
      </c>
      <c r="S138" s="91"/>
      <c r="T138" s="91"/>
      <c r="U138" s="91"/>
      <c r="V138" s="99">
        <f t="shared" si="4"/>
        <v>6.4109999999999996</v>
      </c>
      <c r="W138" s="34"/>
      <c r="X138" s="34"/>
      <c r="Y138" s="34"/>
      <c r="Z138" s="34"/>
      <c r="AA138" s="34"/>
      <c r="AB138" s="34"/>
      <c r="AC138" s="34"/>
      <c r="AD138" s="34"/>
      <c r="AE138" s="34"/>
      <c r="AF138" s="34"/>
      <c r="AG138" s="34"/>
      <c r="AH138" s="34"/>
      <c r="AI138" s="34" t="s">
        <v>305</v>
      </c>
      <c r="AJ138" s="34"/>
      <c r="AK138" s="34"/>
      <c r="AL138" s="34"/>
      <c r="AM138" s="34"/>
      <c r="AN138" s="34"/>
      <c r="AO138" s="34"/>
      <c r="AP138" s="34"/>
      <c r="AQ138" s="34"/>
      <c r="AR138" s="34"/>
      <c r="AS138" s="34"/>
      <c r="AT138" s="34"/>
      <c r="AU138" s="34"/>
      <c r="AV138" s="34"/>
      <c r="AW138" s="34"/>
      <c r="AX138" s="34"/>
      <c r="AY138" s="34"/>
      <c r="AZ138" s="34"/>
      <c r="BA138" s="5"/>
    </row>
    <row r="139" spans="1:53" ht="15.75" thickBot="1" x14ac:dyDescent="0.3">
      <c r="A139" s="24" t="s">
        <v>306</v>
      </c>
      <c r="B139" s="24" t="s">
        <v>306</v>
      </c>
      <c r="C139" s="24" t="s">
        <v>306</v>
      </c>
      <c r="D139" s="24" t="s">
        <v>306</v>
      </c>
      <c r="E139" s="24" t="s">
        <v>305</v>
      </c>
      <c r="F139" s="24" t="s">
        <v>306</v>
      </c>
      <c r="G139" s="24" t="s">
        <v>306</v>
      </c>
      <c r="H139" s="24" t="s">
        <v>306</v>
      </c>
      <c r="I139" s="24" t="s">
        <v>306</v>
      </c>
      <c r="J139" s="5" t="s">
        <v>25</v>
      </c>
      <c r="K139" s="5" t="s">
        <v>405</v>
      </c>
      <c r="L139" s="5" t="s">
        <v>402</v>
      </c>
      <c r="M139" s="5" t="s">
        <v>113</v>
      </c>
      <c r="N139" s="5" t="s">
        <v>392</v>
      </c>
      <c r="O139" s="5">
        <v>1E-3</v>
      </c>
      <c r="P139" s="91"/>
      <c r="Q139" s="91"/>
      <c r="R139" s="286">
        <v>6.4106100000000001</v>
      </c>
      <c r="S139" s="91"/>
      <c r="T139" s="91"/>
      <c r="U139" s="91"/>
      <c r="V139" s="99">
        <f t="shared" si="4"/>
        <v>6.4109999999999996</v>
      </c>
      <c r="W139" s="34"/>
      <c r="X139" s="34"/>
      <c r="Y139" s="34"/>
      <c r="Z139" s="34"/>
      <c r="AA139" s="34"/>
      <c r="AB139" s="34"/>
      <c r="AC139" s="34"/>
      <c r="AD139" s="34"/>
      <c r="AE139" s="34"/>
      <c r="AF139" s="34"/>
      <c r="AG139" s="34"/>
      <c r="AH139" s="34"/>
      <c r="AI139" s="34" t="s">
        <v>305</v>
      </c>
      <c r="AJ139" s="34"/>
      <c r="AK139" s="34"/>
      <c r="AL139" s="34"/>
      <c r="AM139" s="34"/>
      <c r="AN139" s="34"/>
      <c r="AO139" s="34"/>
      <c r="AP139" s="34"/>
      <c r="AQ139" s="34"/>
      <c r="AR139" s="34"/>
      <c r="AS139" s="34"/>
      <c r="AT139" s="34"/>
      <c r="AU139" s="34"/>
      <c r="AV139" s="34"/>
      <c r="AW139" s="34"/>
      <c r="AX139" s="34"/>
      <c r="AY139" s="34"/>
      <c r="AZ139" s="34"/>
      <c r="BA139" s="5"/>
    </row>
    <row r="140" spans="1:53" ht="15.75" thickBot="1" x14ac:dyDescent="0.3">
      <c r="A140" s="24" t="s">
        <v>306</v>
      </c>
      <c r="B140" s="24" t="s">
        <v>306</v>
      </c>
      <c r="C140" s="24" t="s">
        <v>306</v>
      </c>
      <c r="D140" s="24" t="s">
        <v>306</v>
      </c>
      <c r="E140" s="24" t="s">
        <v>305</v>
      </c>
      <c r="F140" s="24" t="s">
        <v>306</v>
      </c>
      <c r="G140" s="24" t="s">
        <v>306</v>
      </c>
      <c r="H140" s="24" t="s">
        <v>306</v>
      </c>
      <c r="I140" s="24" t="s">
        <v>306</v>
      </c>
      <c r="J140" s="5" t="s">
        <v>25</v>
      </c>
      <c r="K140" s="5" t="s">
        <v>405</v>
      </c>
      <c r="L140" s="5" t="s">
        <v>406</v>
      </c>
      <c r="M140" s="5" t="s">
        <v>113</v>
      </c>
      <c r="N140" s="5" t="s">
        <v>392</v>
      </c>
      <c r="O140" s="5">
        <v>1E-3</v>
      </c>
      <c r="P140" s="91"/>
      <c r="Q140" s="91"/>
      <c r="R140" s="286">
        <v>8.8838600000000003</v>
      </c>
      <c r="S140" s="91"/>
      <c r="T140" s="91"/>
      <c r="U140" s="91"/>
      <c r="V140" s="99">
        <f t="shared" si="4"/>
        <v>8.8840000000000003</v>
      </c>
      <c r="W140" s="34"/>
      <c r="X140" s="34"/>
      <c r="Y140" s="34"/>
      <c r="Z140" s="34"/>
      <c r="AA140" s="34"/>
      <c r="AB140" s="34"/>
      <c r="AC140" s="34"/>
      <c r="AD140" s="34"/>
      <c r="AE140" s="34"/>
      <c r="AF140" s="34"/>
      <c r="AG140" s="34"/>
      <c r="AH140" s="34"/>
      <c r="AI140" s="34" t="s">
        <v>305</v>
      </c>
      <c r="AJ140" s="34"/>
      <c r="AK140" s="34"/>
      <c r="AL140" s="34"/>
      <c r="AM140" s="34"/>
      <c r="AN140" s="34"/>
      <c r="AO140" s="34"/>
      <c r="AP140" s="34"/>
      <c r="AQ140" s="34"/>
      <c r="AR140" s="34"/>
      <c r="AS140" s="34"/>
      <c r="AT140" s="34"/>
      <c r="AU140" s="34"/>
      <c r="AV140" s="34"/>
      <c r="AW140" s="34"/>
      <c r="AX140" s="34"/>
      <c r="AY140" s="34"/>
      <c r="AZ140" s="34"/>
      <c r="BA140" s="5"/>
    </row>
    <row r="141" spans="1:53" ht="15.75" thickBot="1" x14ac:dyDescent="0.3">
      <c r="A141" s="24" t="s">
        <v>306</v>
      </c>
      <c r="B141" s="24" t="s">
        <v>306</v>
      </c>
      <c r="C141" s="24" t="s">
        <v>306</v>
      </c>
      <c r="D141" s="24" t="s">
        <v>306</v>
      </c>
      <c r="E141" s="24" t="s">
        <v>305</v>
      </c>
      <c r="F141" s="24" t="s">
        <v>306</v>
      </c>
      <c r="G141" s="24" t="s">
        <v>306</v>
      </c>
      <c r="H141" s="24" t="s">
        <v>306</v>
      </c>
      <c r="I141" s="24" t="s">
        <v>306</v>
      </c>
      <c r="J141" s="5" t="s">
        <v>25</v>
      </c>
      <c r="K141" s="5" t="s">
        <v>405</v>
      </c>
      <c r="L141" s="5" t="s">
        <v>112</v>
      </c>
      <c r="M141" s="5" t="s">
        <v>113</v>
      </c>
      <c r="N141" s="5" t="s">
        <v>392</v>
      </c>
      <c r="O141" s="5">
        <v>1E-3</v>
      </c>
      <c r="P141" s="91"/>
      <c r="Q141" s="91"/>
      <c r="R141" s="286">
        <v>925.24423000000002</v>
      </c>
      <c r="S141" s="91"/>
      <c r="T141" s="91"/>
      <c r="U141" s="91"/>
      <c r="V141" s="99">
        <f t="shared" si="4"/>
        <v>925.24400000000003</v>
      </c>
      <c r="W141" s="34"/>
      <c r="X141" s="34"/>
      <c r="Y141" s="34"/>
      <c r="Z141" s="34"/>
      <c r="AA141" s="34"/>
      <c r="AB141" s="34"/>
      <c r="AC141" s="34"/>
      <c r="AD141" s="34"/>
      <c r="AE141" s="34"/>
      <c r="AF141" s="34"/>
      <c r="AG141" s="34"/>
      <c r="AH141" s="34"/>
      <c r="AI141" s="34" t="s">
        <v>305</v>
      </c>
      <c r="AJ141" s="34"/>
      <c r="AK141" s="34"/>
      <c r="AL141" s="34"/>
      <c r="AM141" s="34"/>
      <c r="AN141" s="34"/>
      <c r="AO141" s="34"/>
      <c r="AP141" s="34"/>
      <c r="AQ141" s="34"/>
      <c r="AR141" s="34"/>
      <c r="AS141" s="34"/>
      <c r="AT141" s="34"/>
      <c r="AU141" s="34"/>
      <c r="AV141" s="34"/>
      <c r="AW141" s="34"/>
      <c r="AX141" s="34"/>
      <c r="AY141" s="34"/>
      <c r="AZ141" s="34"/>
      <c r="BA141" s="5"/>
    </row>
    <row r="142" spans="1:53" ht="15.75" thickBot="1" x14ac:dyDescent="0.3">
      <c r="A142" s="24" t="s">
        <v>306</v>
      </c>
      <c r="B142" s="24" t="s">
        <v>306</v>
      </c>
      <c r="C142" s="24" t="s">
        <v>306</v>
      </c>
      <c r="D142" s="24" t="s">
        <v>306</v>
      </c>
      <c r="E142" s="24" t="s">
        <v>305</v>
      </c>
      <c r="F142" s="24" t="s">
        <v>306</v>
      </c>
      <c r="G142" s="24" t="s">
        <v>306</v>
      </c>
      <c r="H142" s="24" t="s">
        <v>306</v>
      </c>
      <c r="I142" s="24" t="s">
        <v>306</v>
      </c>
      <c r="J142" s="5" t="s">
        <v>25</v>
      </c>
      <c r="K142" s="5" t="s">
        <v>111</v>
      </c>
      <c r="L142" s="5" t="s">
        <v>402</v>
      </c>
      <c r="M142" s="5" t="s">
        <v>113</v>
      </c>
      <c r="N142" s="5" t="s">
        <v>392</v>
      </c>
      <c r="O142" s="5">
        <v>1E-3</v>
      </c>
      <c r="P142" s="91"/>
      <c r="Q142" s="91"/>
      <c r="R142" s="286">
        <v>6.4106100000000001</v>
      </c>
      <c r="S142" s="91"/>
      <c r="T142" s="91"/>
      <c r="U142" s="91"/>
      <c r="V142" s="99">
        <f t="shared" si="4"/>
        <v>6.4109999999999996</v>
      </c>
      <c r="W142" s="34"/>
      <c r="X142" s="34"/>
      <c r="Y142" s="34"/>
      <c r="Z142" s="34"/>
      <c r="AA142" s="34"/>
      <c r="AB142" s="34"/>
      <c r="AC142" s="34"/>
      <c r="AD142" s="34"/>
      <c r="AE142" s="34"/>
      <c r="AF142" s="34"/>
      <c r="AG142" s="34"/>
      <c r="AH142" s="34"/>
      <c r="AI142" s="34" t="s">
        <v>305</v>
      </c>
      <c r="AJ142" s="34"/>
      <c r="AK142" s="34"/>
      <c r="AL142" s="34"/>
      <c r="AM142" s="34"/>
      <c r="AN142" s="34"/>
      <c r="AO142" s="34"/>
      <c r="AP142" s="34"/>
      <c r="AQ142" s="34"/>
      <c r="AR142" s="34"/>
      <c r="AS142" s="34"/>
      <c r="AT142" s="34"/>
      <c r="AU142" s="34"/>
      <c r="AV142" s="34"/>
      <c r="AW142" s="34"/>
      <c r="AX142" s="34"/>
      <c r="AY142" s="34"/>
      <c r="AZ142" s="34"/>
      <c r="BA142" s="5"/>
    </row>
    <row r="143" spans="1:53" ht="15.75" thickBot="1" x14ac:dyDescent="0.3">
      <c r="A143" s="24" t="s">
        <v>306</v>
      </c>
      <c r="B143" s="24" t="s">
        <v>306</v>
      </c>
      <c r="C143" s="24" t="s">
        <v>306</v>
      </c>
      <c r="D143" s="24" t="s">
        <v>306</v>
      </c>
      <c r="E143" s="24" t="s">
        <v>305</v>
      </c>
      <c r="F143" s="24" t="s">
        <v>306</v>
      </c>
      <c r="G143" s="24" t="s">
        <v>306</v>
      </c>
      <c r="H143" s="24" t="s">
        <v>306</v>
      </c>
      <c r="I143" s="24" t="s">
        <v>306</v>
      </c>
      <c r="J143" s="5" t="s">
        <v>25</v>
      </c>
      <c r="K143" s="5" t="s">
        <v>111</v>
      </c>
      <c r="L143" s="5" t="s">
        <v>112</v>
      </c>
      <c r="M143" s="5" t="s">
        <v>113</v>
      </c>
      <c r="N143" s="5" t="s">
        <v>392</v>
      </c>
      <c r="O143" s="5">
        <v>1E-3</v>
      </c>
      <c r="P143" s="91"/>
      <c r="Q143" s="91"/>
      <c r="R143" s="286">
        <v>497.04415999999998</v>
      </c>
      <c r="S143" s="91"/>
      <c r="T143" s="91"/>
      <c r="U143" s="91"/>
      <c r="V143" s="99">
        <f t="shared" si="4"/>
        <v>497.04399999999998</v>
      </c>
      <c r="W143" s="34"/>
      <c r="X143" s="34"/>
      <c r="Y143" s="34"/>
      <c r="Z143" s="34"/>
      <c r="AA143" s="34"/>
      <c r="AB143" s="34"/>
      <c r="AC143" s="34"/>
      <c r="AD143" s="34"/>
      <c r="AE143" s="34"/>
      <c r="AF143" s="34"/>
      <c r="AG143" s="34"/>
      <c r="AH143" s="34"/>
      <c r="AI143" s="34" t="s">
        <v>305</v>
      </c>
      <c r="AJ143" s="34"/>
      <c r="AK143" s="34"/>
      <c r="AL143" s="34"/>
      <c r="AM143" s="34"/>
      <c r="AN143" s="34"/>
      <c r="AO143" s="34"/>
      <c r="AP143" s="34"/>
      <c r="AQ143" s="34"/>
      <c r="AR143" s="34"/>
      <c r="AS143" s="34"/>
      <c r="AT143" s="34"/>
      <c r="AU143" s="34"/>
      <c r="AV143" s="34"/>
      <c r="AW143" s="34"/>
      <c r="AX143" s="34"/>
      <c r="AY143" s="34"/>
      <c r="AZ143" s="34"/>
      <c r="BA143" s="5"/>
    </row>
    <row r="144" spans="1:53" ht="15.75" thickBot="1" x14ac:dyDescent="0.3">
      <c r="A144" s="24" t="s">
        <v>306</v>
      </c>
      <c r="B144" s="24" t="s">
        <v>306</v>
      </c>
      <c r="C144" s="24" t="s">
        <v>306</v>
      </c>
      <c r="D144" s="24" t="s">
        <v>306</v>
      </c>
      <c r="E144" s="24" t="s">
        <v>305</v>
      </c>
      <c r="F144" s="24" t="s">
        <v>306</v>
      </c>
      <c r="G144" s="24" t="s">
        <v>306</v>
      </c>
      <c r="H144" s="24" t="s">
        <v>306</v>
      </c>
      <c r="I144" s="24" t="s">
        <v>306</v>
      </c>
      <c r="J144" s="5" t="s">
        <v>354</v>
      </c>
      <c r="K144" s="194" t="s">
        <v>968</v>
      </c>
      <c r="L144" s="5" t="s">
        <v>967</v>
      </c>
      <c r="M144" s="5" t="s">
        <v>965</v>
      </c>
      <c r="N144" s="5"/>
      <c r="O144" s="5"/>
      <c r="P144" s="286">
        <v>0.11926</v>
      </c>
      <c r="Q144" s="91"/>
      <c r="R144" s="91"/>
      <c r="S144" s="91"/>
      <c r="T144" s="91"/>
      <c r="U144" s="91"/>
      <c r="V144" s="91"/>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t="s">
        <v>305</v>
      </c>
      <c r="AS144" s="34"/>
      <c r="AT144" s="34"/>
      <c r="AU144" s="34"/>
      <c r="AV144" s="34"/>
      <c r="AW144" s="34"/>
      <c r="AX144" s="34"/>
      <c r="AY144" s="34"/>
      <c r="AZ144" s="34"/>
      <c r="BA144" s="5" t="s">
        <v>983</v>
      </c>
    </row>
    <row r="145" spans="1:53" ht="26.25" thickBot="1" x14ac:dyDescent="0.3">
      <c r="A145" s="24" t="s">
        <v>306</v>
      </c>
      <c r="B145" s="24" t="s">
        <v>306</v>
      </c>
      <c r="C145" s="24" t="s">
        <v>306</v>
      </c>
      <c r="D145" s="24" t="s">
        <v>306</v>
      </c>
      <c r="E145" s="24" t="s">
        <v>305</v>
      </c>
      <c r="F145" s="24" t="s">
        <v>306</v>
      </c>
      <c r="G145" s="24" t="s">
        <v>306</v>
      </c>
      <c r="H145" s="24" t="s">
        <v>306</v>
      </c>
      <c r="I145" s="24" t="s">
        <v>306</v>
      </c>
      <c r="J145" s="5" t="s">
        <v>354</v>
      </c>
      <c r="K145" s="194" t="s">
        <v>968</v>
      </c>
      <c r="L145" s="194" t="s">
        <v>966</v>
      </c>
      <c r="M145" s="5" t="s">
        <v>965</v>
      </c>
      <c r="N145" s="5"/>
      <c r="O145" s="5"/>
      <c r="P145" s="286">
        <v>0.20077</v>
      </c>
      <c r="Q145" s="91"/>
      <c r="R145" s="91"/>
      <c r="S145" s="91"/>
      <c r="T145" s="91"/>
      <c r="U145" s="91"/>
      <c r="V145" s="91"/>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t="s">
        <v>305</v>
      </c>
      <c r="AS145" s="34"/>
      <c r="AT145" s="34"/>
      <c r="AU145" s="34"/>
      <c r="AV145" s="34"/>
      <c r="AW145" s="34"/>
      <c r="AX145" s="34"/>
      <c r="AY145" s="34"/>
      <c r="AZ145" s="34"/>
      <c r="BA145" s="5" t="s">
        <v>983</v>
      </c>
    </row>
    <row r="146" spans="1:53" ht="51.75" thickBot="1" x14ac:dyDescent="0.3">
      <c r="A146" s="24" t="s">
        <v>306</v>
      </c>
      <c r="B146" s="24" t="s">
        <v>306</v>
      </c>
      <c r="C146" s="24" t="s">
        <v>306</v>
      </c>
      <c r="D146" s="24" t="s">
        <v>306</v>
      </c>
      <c r="E146" s="24" t="s">
        <v>305</v>
      </c>
      <c r="F146" s="24" t="s">
        <v>306</v>
      </c>
      <c r="G146" s="24" t="s">
        <v>306</v>
      </c>
      <c r="H146" s="24" t="s">
        <v>306</v>
      </c>
      <c r="I146" s="24" t="s">
        <v>306</v>
      </c>
      <c r="J146" s="194" t="s">
        <v>694</v>
      </c>
      <c r="K146" s="5" t="s">
        <v>111</v>
      </c>
      <c r="L146" s="5" t="s">
        <v>402</v>
      </c>
      <c r="M146" s="5" t="s">
        <v>113</v>
      </c>
      <c r="N146" s="5" t="s">
        <v>392</v>
      </c>
      <c r="O146" s="5">
        <v>1E-3</v>
      </c>
      <c r="P146" s="91"/>
      <c r="Q146" s="91"/>
      <c r="R146" s="286">
        <v>0</v>
      </c>
      <c r="S146" s="91"/>
      <c r="T146" s="91"/>
      <c r="U146" s="91"/>
      <c r="V146" s="99">
        <f t="shared" ref="V146:V209" si="5">ROUND(SUM(P146:U146),3)</f>
        <v>0</v>
      </c>
      <c r="W146" s="34"/>
      <c r="X146" s="34"/>
      <c r="Y146" s="34"/>
      <c r="Z146" s="34"/>
      <c r="AA146" s="34"/>
      <c r="AB146" s="34"/>
      <c r="AC146" s="34"/>
      <c r="AD146" s="34"/>
      <c r="AE146" s="34"/>
      <c r="AF146" s="34"/>
      <c r="AG146" s="34"/>
      <c r="AH146" s="34"/>
      <c r="AI146" s="34" t="s">
        <v>305</v>
      </c>
      <c r="AJ146" s="34"/>
      <c r="AK146" s="34"/>
      <c r="AL146" s="34"/>
      <c r="AM146" s="34"/>
      <c r="AN146" s="34"/>
      <c r="AO146" s="34"/>
      <c r="AP146" s="34"/>
      <c r="AQ146" s="34"/>
      <c r="AR146" s="34" t="s">
        <v>305</v>
      </c>
      <c r="AS146" s="34"/>
      <c r="AT146" s="34"/>
      <c r="AU146" s="34"/>
      <c r="AV146" s="34"/>
      <c r="AW146" s="34"/>
      <c r="AX146" s="34"/>
      <c r="AY146" s="34"/>
      <c r="AZ146" s="34"/>
      <c r="BA146" s="5" t="s">
        <v>1059</v>
      </c>
    </row>
    <row r="147" spans="1:53" ht="102.75" thickBot="1" x14ac:dyDescent="0.3">
      <c r="A147" s="24" t="s">
        <v>306</v>
      </c>
      <c r="B147" s="24" t="s">
        <v>306</v>
      </c>
      <c r="C147" s="24" t="s">
        <v>306</v>
      </c>
      <c r="D147" s="24" t="s">
        <v>306</v>
      </c>
      <c r="E147" s="24" t="s">
        <v>305</v>
      </c>
      <c r="F147" s="24" t="s">
        <v>306</v>
      </c>
      <c r="G147" s="24" t="s">
        <v>306</v>
      </c>
      <c r="H147" s="24" t="s">
        <v>306</v>
      </c>
      <c r="I147" s="24" t="s">
        <v>306</v>
      </c>
      <c r="J147" s="194" t="s">
        <v>694</v>
      </c>
      <c r="K147" s="5" t="s">
        <v>111</v>
      </c>
      <c r="L147" s="5" t="s">
        <v>112</v>
      </c>
      <c r="M147" s="5" t="s">
        <v>113</v>
      </c>
      <c r="N147" s="5" t="s">
        <v>392</v>
      </c>
      <c r="O147" s="5">
        <v>1E-3</v>
      </c>
      <c r="P147" s="91"/>
      <c r="Q147" s="91"/>
      <c r="R147" s="286">
        <f>R143-(10*2*P145)</f>
        <v>493.02875999999998</v>
      </c>
      <c r="S147" s="91"/>
      <c r="T147" s="91"/>
      <c r="U147" s="91"/>
      <c r="V147" s="99">
        <f t="shared" si="5"/>
        <v>493.029</v>
      </c>
      <c r="W147" s="34"/>
      <c r="X147" s="34"/>
      <c r="Y147" s="34"/>
      <c r="Z147" s="34"/>
      <c r="AA147" s="34"/>
      <c r="AB147" s="34"/>
      <c r="AC147" s="34"/>
      <c r="AD147" s="34"/>
      <c r="AE147" s="34"/>
      <c r="AF147" s="34"/>
      <c r="AG147" s="34"/>
      <c r="AH147" s="34"/>
      <c r="AI147" s="34" t="s">
        <v>305</v>
      </c>
      <c r="AJ147" s="34"/>
      <c r="AK147" s="34"/>
      <c r="AL147" s="34"/>
      <c r="AM147" s="34"/>
      <c r="AN147" s="34"/>
      <c r="AO147" s="34"/>
      <c r="AP147" s="34"/>
      <c r="AQ147" s="34"/>
      <c r="AR147" s="34" t="s">
        <v>305</v>
      </c>
      <c r="AS147" s="34"/>
      <c r="AT147" s="34"/>
      <c r="AU147" s="34"/>
      <c r="AV147" s="34"/>
      <c r="AW147" s="34"/>
      <c r="AX147" s="34"/>
      <c r="AY147" s="34"/>
      <c r="AZ147" s="34"/>
      <c r="BA147" s="5" t="s">
        <v>1060</v>
      </c>
    </row>
    <row r="148" spans="1:53" ht="26.25" thickBot="1" x14ac:dyDescent="0.3">
      <c r="A148" s="24" t="s">
        <v>306</v>
      </c>
      <c r="B148" s="24" t="s">
        <v>306</v>
      </c>
      <c r="C148" s="24" t="s">
        <v>306</v>
      </c>
      <c r="D148" s="24" t="s">
        <v>306</v>
      </c>
      <c r="E148" s="24" t="s">
        <v>305</v>
      </c>
      <c r="F148" s="24" t="s">
        <v>306</v>
      </c>
      <c r="G148" s="24" t="s">
        <v>306</v>
      </c>
      <c r="H148" s="24" t="s">
        <v>306</v>
      </c>
      <c r="I148" s="24" t="s">
        <v>306</v>
      </c>
      <c r="J148" s="5" t="s">
        <v>25</v>
      </c>
      <c r="K148" s="5" t="s">
        <v>408</v>
      </c>
      <c r="L148" s="5" t="s">
        <v>115</v>
      </c>
      <c r="M148" s="5" t="s">
        <v>113</v>
      </c>
      <c r="N148" s="5" t="s">
        <v>392</v>
      </c>
      <c r="O148" s="5">
        <v>1E-3</v>
      </c>
      <c r="P148" s="91"/>
      <c r="Q148" s="91"/>
      <c r="R148" s="286">
        <v>6.4106100000000001</v>
      </c>
      <c r="S148" s="91"/>
      <c r="T148" s="91"/>
      <c r="U148" s="91"/>
      <c r="V148" s="99">
        <f t="shared" si="5"/>
        <v>6.4109999999999996</v>
      </c>
      <c r="W148" s="34"/>
      <c r="X148" s="34"/>
      <c r="Y148" s="34"/>
      <c r="Z148" s="34"/>
      <c r="AA148" s="34"/>
      <c r="AB148" s="34"/>
      <c r="AC148" s="34"/>
      <c r="AD148" s="34"/>
      <c r="AE148" s="34"/>
      <c r="AF148" s="34"/>
      <c r="AG148" s="34"/>
      <c r="AH148" s="34"/>
      <c r="AI148" s="34" t="s">
        <v>305</v>
      </c>
      <c r="AJ148" s="34"/>
      <c r="AK148" s="34"/>
      <c r="AL148" s="34"/>
      <c r="AM148" s="34"/>
      <c r="AN148" s="34"/>
      <c r="AO148" s="34"/>
      <c r="AP148" s="34"/>
      <c r="AQ148" s="34"/>
      <c r="AR148" s="34"/>
      <c r="AS148" s="34"/>
      <c r="AT148" s="34"/>
      <c r="AU148" s="34"/>
      <c r="AV148" s="34"/>
      <c r="AW148" s="34"/>
      <c r="AX148" s="34"/>
      <c r="AY148" s="34"/>
      <c r="AZ148" s="34"/>
      <c r="BA148" s="5"/>
    </row>
    <row r="149" spans="1:53" ht="26.25" thickBot="1" x14ac:dyDescent="0.3">
      <c r="A149" s="24" t="s">
        <v>306</v>
      </c>
      <c r="B149" s="24" t="s">
        <v>306</v>
      </c>
      <c r="C149" s="24" t="s">
        <v>306</v>
      </c>
      <c r="D149" s="24" t="s">
        <v>306</v>
      </c>
      <c r="E149" s="24" t="s">
        <v>305</v>
      </c>
      <c r="F149" s="24" t="s">
        <v>306</v>
      </c>
      <c r="G149" s="24" t="s">
        <v>306</v>
      </c>
      <c r="H149" s="24" t="s">
        <v>306</v>
      </c>
      <c r="I149" s="24" t="s">
        <v>306</v>
      </c>
      <c r="J149" s="5" t="s">
        <v>25</v>
      </c>
      <c r="K149" s="5" t="s">
        <v>408</v>
      </c>
      <c r="L149" s="5" t="s">
        <v>402</v>
      </c>
      <c r="M149" s="5" t="s">
        <v>113</v>
      </c>
      <c r="N149" s="5" t="s">
        <v>392</v>
      </c>
      <c r="O149" s="5">
        <v>1E-3</v>
      </c>
      <c r="P149" s="91"/>
      <c r="Q149" s="91"/>
      <c r="R149" s="286">
        <v>6.4106100000000001</v>
      </c>
      <c r="S149" s="91"/>
      <c r="T149" s="91"/>
      <c r="U149" s="91"/>
      <c r="V149" s="99">
        <f t="shared" si="5"/>
        <v>6.4109999999999996</v>
      </c>
      <c r="W149" s="34"/>
      <c r="X149" s="34"/>
      <c r="Y149" s="34"/>
      <c r="Z149" s="34"/>
      <c r="AA149" s="34"/>
      <c r="AB149" s="34"/>
      <c r="AC149" s="34"/>
      <c r="AD149" s="34"/>
      <c r="AE149" s="34"/>
      <c r="AF149" s="34"/>
      <c r="AG149" s="34"/>
      <c r="AH149" s="34"/>
      <c r="AI149" s="34" t="s">
        <v>305</v>
      </c>
      <c r="AJ149" s="34"/>
      <c r="AK149" s="34"/>
      <c r="AL149" s="34"/>
      <c r="AM149" s="34"/>
      <c r="AN149" s="34"/>
      <c r="AO149" s="34"/>
      <c r="AP149" s="34"/>
      <c r="AQ149" s="34"/>
      <c r="AR149" s="34"/>
      <c r="AS149" s="34"/>
      <c r="AT149" s="34"/>
      <c r="AU149" s="34"/>
      <c r="AV149" s="34"/>
      <c r="AW149" s="34"/>
      <c r="AX149" s="34"/>
      <c r="AY149" s="34"/>
      <c r="AZ149" s="34"/>
      <c r="BA149" s="5"/>
    </row>
    <row r="150" spans="1:53" ht="26.25" thickBot="1" x14ac:dyDescent="0.3">
      <c r="A150" s="24" t="s">
        <v>306</v>
      </c>
      <c r="B150" s="24" t="s">
        <v>306</v>
      </c>
      <c r="C150" s="24" t="s">
        <v>306</v>
      </c>
      <c r="D150" s="24" t="s">
        <v>306</v>
      </c>
      <c r="E150" s="24" t="s">
        <v>305</v>
      </c>
      <c r="F150" s="24" t="s">
        <v>306</v>
      </c>
      <c r="G150" s="24" t="s">
        <v>306</v>
      </c>
      <c r="H150" s="24" t="s">
        <v>306</v>
      </c>
      <c r="I150" s="24" t="s">
        <v>306</v>
      </c>
      <c r="J150" s="5" t="s">
        <v>25</v>
      </c>
      <c r="K150" s="5" t="s">
        <v>408</v>
      </c>
      <c r="L150" s="5" t="s">
        <v>112</v>
      </c>
      <c r="M150" s="5" t="s">
        <v>113</v>
      </c>
      <c r="N150" s="5" t="s">
        <v>392</v>
      </c>
      <c r="O150" s="5">
        <v>1E-3</v>
      </c>
      <c r="P150" s="91"/>
      <c r="Q150" s="91"/>
      <c r="R150" s="286">
        <v>520.33420000000001</v>
      </c>
      <c r="S150" s="91"/>
      <c r="T150" s="91"/>
      <c r="U150" s="91"/>
      <c r="V150" s="99">
        <f t="shared" si="5"/>
        <v>520.33399999999995</v>
      </c>
      <c r="W150" s="34"/>
      <c r="X150" s="34"/>
      <c r="Y150" s="34"/>
      <c r="Z150" s="34"/>
      <c r="AA150" s="34"/>
      <c r="AB150" s="34"/>
      <c r="AC150" s="34"/>
      <c r="AD150" s="34"/>
      <c r="AE150" s="34"/>
      <c r="AF150" s="34"/>
      <c r="AG150" s="34"/>
      <c r="AH150" s="34"/>
      <c r="AI150" s="34" t="s">
        <v>305</v>
      </c>
      <c r="AJ150" s="34"/>
      <c r="AK150" s="34"/>
      <c r="AL150" s="34"/>
      <c r="AM150" s="34"/>
      <c r="AN150" s="34"/>
      <c r="AO150" s="34"/>
      <c r="AP150" s="34"/>
      <c r="AQ150" s="34"/>
      <c r="AR150" s="34"/>
      <c r="AS150" s="34"/>
      <c r="AT150" s="34"/>
      <c r="AU150" s="34"/>
      <c r="AV150" s="34"/>
      <c r="AW150" s="34"/>
      <c r="AX150" s="34"/>
      <c r="AY150" s="34"/>
      <c r="AZ150" s="34"/>
      <c r="BA150" s="5"/>
    </row>
    <row r="151" spans="1:53" ht="51.75" thickBot="1" x14ac:dyDescent="0.3">
      <c r="A151" s="24" t="s">
        <v>306</v>
      </c>
      <c r="B151" s="24" t="s">
        <v>306</v>
      </c>
      <c r="C151" s="24" t="s">
        <v>306</v>
      </c>
      <c r="D151" s="24" t="s">
        <v>306</v>
      </c>
      <c r="E151" s="24" t="s">
        <v>305</v>
      </c>
      <c r="F151" s="24" t="s">
        <v>306</v>
      </c>
      <c r="G151" s="24" t="s">
        <v>306</v>
      </c>
      <c r="H151" s="24" t="s">
        <v>306</v>
      </c>
      <c r="I151" s="24" t="s">
        <v>306</v>
      </c>
      <c r="J151" s="194" t="s">
        <v>694</v>
      </c>
      <c r="K151" s="5" t="s">
        <v>408</v>
      </c>
      <c r="L151" s="5" t="s">
        <v>115</v>
      </c>
      <c r="M151" s="5" t="s">
        <v>113</v>
      </c>
      <c r="N151" s="5" t="s">
        <v>392</v>
      </c>
      <c r="O151" s="5">
        <v>1E-3</v>
      </c>
      <c r="P151" s="91"/>
      <c r="Q151" s="91"/>
      <c r="R151" s="286">
        <v>0</v>
      </c>
      <c r="S151" s="91"/>
      <c r="T151" s="91"/>
      <c r="U151" s="91"/>
      <c r="V151" s="99">
        <f t="shared" si="5"/>
        <v>0</v>
      </c>
      <c r="W151" s="34"/>
      <c r="X151" s="34"/>
      <c r="Y151" s="34"/>
      <c r="Z151" s="34"/>
      <c r="AA151" s="34"/>
      <c r="AB151" s="34"/>
      <c r="AC151" s="34"/>
      <c r="AD151" s="34"/>
      <c r="AE151" s="34"/>
      <c r="AF151" s="34"/>
      <c r="AG151" s="34"/>
      <c r="AH151" s="34"/>
      <c r="AI151" s="34" t="s">
        <v>305</v>
      </c>
      <c r="AJ151" s="34"/>
      <c r="AK151" s="34"/>
      <c r="AL151" s="34"/>
      <c r="AM151" s="34"/>
      <c r="AN151" s="34"/>
      <c r="AO151" s="34"/>
      <c r="AP151" s="34"/>
      <c r="AQ151" s="34"/>
      <c r="AR151" s="34" t="s">
        <v>305</v>
      </c>
      <c r="AS151" s="34"/>
      <c r="AT151" s="34"/>
      <c r="AU151" s="34"/>
      <c r="AV151" s="34"/>
      <c r="AW151" s="34"/>
      <c r="AX151" s="34"/>
      <c r="AY151" s="34"/>
      <c r="AZ151" s="34"/>
      <c r="BA151" s="5" t="s">
        <v>1059</v>
      </c>
    </row>
    <row r="152" spans="1:53" ht="51.75" thickBot="1" x14ac:dyDescent="0.3">
      <c r="A152" s="24" t="s">
        <v>306</v>
      </c>
      <c r="B152" s="24" t="s">
        <v>306</v>
      </c>
      <c r="C152" s="24" t="s">
        <v>306</v>
      </c>
      <c r="D152" s="24" t="s">
        <v>306</v>
      </c>
      <c r="E152" s="24" t="s">
        <v>305</v>
      </c>
      <c r="F152" s="24" t="s">
        <v>306</v>
      </c>
      <c r="G152" s="24" t="s">
        <v>306</v>
      </c>
      <c r="H152" s="24" t="s">
        <v>306</v>
      </c>
      <c r="I152" s="24" t="s">
        <v>306</v>
      </c>
      <c r="J152" s="194" t="s">
        <v>694</v>
      </c>
      <c r="K152" s="5" t="s">
        <v>408</v>
      </c>
      <c r="L152" s="5" t="s">
        <v>402</v>
      </c>
      <c r="M152" s="5" t="s">
        <v>113</v>
      </c>
      <c r="N152" s="5" t="s">
        <v>392</v>
      </c>
      <c r="O152" s="5">
        <v>1E-3</v>
      </c>
      <c r="P152" s="91"/>
      <c r="Q152" s="91"/>
      <c r="R152" s="286">
        <v>0</v>
      </c>
      <c r="S152" s="91"/>
      <c r="T152" s="91"/>
      <c r="U152" s="91"/>
      <c r="V152" s="99">
        <f t="shared" si="5"/>
        <v>0</v>
      </c>
      <c r="W152" s="34"/>
      <c r="X152" s="34"/>
      <c r="Y152" s="34"/>
      <c r="Z152" s="34"/>
      <c r="AA152" s="34"/>
      <c r="AB152" s="34"/>
      <c r="AC152" s="34"/>
      <c r="AD152" s="34"/>
      <c r="AE152" s="34"/>
      <c r="AF152" s="34"/>
      <c r="AG152" s="34"/>
      <c r="AH152" s="34"/>
      <c r="AI152" s="34" t="s">
        <v>305</v>
      </c>
      <c r="AJ152" s="34"/>
      <c r="AK152" s="34"/>
      <c r="AL152" s="34"/>
      <c r="AM152" s="34"/>
      <c r="AN152" s="34"/>
      <c r="AO152" s="34"/>
      <c r="AP152" s="34"/>
      <c r="AQ152" s="34"/>
      <c r="AR152" s="34" t="s">
        <v>305</v>
      </c>
      <c r="AS152" s="34"/>
      <c r="AT152" s="34"/>
      <c r="AU152" s="34"/>
      <c r="AV152" s="34"/>
      <c r="AW152" s="34"/>
      <c r="AX152" s="34"/>
      <c r="AY152" s="34"/>
      <c r="AZ152" s="34"/>
      <c r="BA152" s="5" t="s">
        <v>1059</v>
      </c>
    </row>
    <row r="153" spans="1:53" ht="102.75" thickBot="1" x14ac:dyDescent="0.3">
      <c r="A153" s="24" t="s">
        <v>306</v>
      </c>
      <c r="B153" s="24" t="s">
        <v>306</v>
      </c>
      <c r="C153" s="24" t="s">
        <v>306</v>
      </c>
      <c r="D153" s="24" t="s">
        <v>306</v>
      </c>
      <c r="E153" s="24" t="s">
        <v>305</v>
      </c>
      <c r="F153" s="24" t="s">
        <v>306</v>
      </c>
      <c r="G153" s="24" t="s">
        <v>306</v>
      </c>
      <c r="H153" s="24" t="s">
        <v>306</v>
      </c>
      <c r="I153" s="24" t="s">
        <v>306</v>
      </c>
      <c r="J153" s="194" t="s">
        <v>694</v>
      </c>
      <c r="K153" s="5" t="s">
        <v>408</v>
      </c>
      <c r="L153" s="5" t="s">
        <v>112</v>
      </c>
      <c r="M153" s="5" t="s">
        <v>113</v>
      </c>
      <c r="N153" s="5" t="s">
        <v>392</v>
      </c>
      <c r="O153" s="5">
        <v>1E-3</v>
      </c>
      <c r="P153" s="91"/>
      <c r="Q153" s="91"/>
      <c r="R153" s="286">
        <f>R150-(10*2*P145)</f>
        <v>516.31880000000001</v>
      </c>
      <c r="S153" s="91"/>
      <c r="T153" s="91"/>
      <c r="U153" s="91"/>
      <c r="V153" s="99">
        <f t="shared" si="5"/>
        <v>516.31899999999996</v>
      </c>
      <c r="W153" s="34"/>
      <c r="X153" s="34"/>
      <c r="Y153" s="34"/>
      <c r="Z153" s="34"/>
      <c r="AA153" s="34"/>
      <c r="AB153" s="34"/>
      <c r="AC153" s="34"/>
      <c r="AD153" s="34"/>
      <c r="AE153" s="34"/>
      <c r="AF153" s="34"/>
      <c r="AG153" s="34"/>
      <c r="AH153" s="34"/>
      <c r="AI153" s="34" t="s">
        <v>305</v>
      </c>
      <c r="AJ153" s="34"/>
      <c r="AK153" s="34"/>
      <c r="AL153" s="34"/>
      <c r="AM153" s="34"/>
      <c r="AN153" s="34"/>
      <c r="AO153" s="34"/>
      <c r="AP153" s="34"/>
      <c r="AQ153" s="34"/>
      <c r="AR153" s="34" t="s">
        <v>305</v>
      </c>
      <c r="AS153" s="34"/>
      <c r="AT153" s="34"/>
      <c r="AU153" s="34"/>
      <c r="AV153" s="34"/>
      <c r="AW153" s="34"/>
      <c r="AX153" s="34"/>
      <c r="AY153" s="34"/>
      <c r="AZ153" s="34"/>
      <c r="BA153" s="5" t="s">
        <v>1060</v>
      </c>
    </row>
    <row r="154" spans="1:53" ht="15.75" thickBot="1" x14ac:dyDescent="0.3">
      <c r="A154" s="24" t="s">
        <v>306</v>
      </c>
      <c r="B154" s="24" t="s">
        <v>306</v>
      </c>
      <c r="C154" s="24" t="s">
        <v>306</v>
      </c>
      <c r="D154" s="24" t="s">
        <v>306</v>
      </c>
      <c r="E154" s="24" t="s">
        <v>305</v>
      </c>
      <c r="F154" s="24" t="s">
        <v>306</v>
      </c>
      <c r="G154" s="24" t="s">
        <v>306</v>
      </c>
      <c r="H154" s="24" t="s">
        <v>306</v>
      </c>
      <c r="I154" s="24" t="s">
        <v>306</v>
      </c>
      <c r="J154" s="5" t="s">
        <v>25</v>
      </c>
      <c r="K154" s="5" t="s">
        <v>114</v>
      </c>
      <c r="L154" s="5" t="s">
        <v>115</v>
      </c>
      <c r="M154" s="5" t="s">
        <v>113</v>
      </c>
      <c r="N154" s="5" t="s">
        <v>392</v>
      </c>
      <c r="O154" s="5">
        <v>1E-3</v>
      </c>
      <c r="P154" s="91"/>
      <c r="Q154" s="91"/>
      <c r="R154" s="286">
        <v>6.4106100000000001</v>
      </c>
      <c r="S154" s="91"/>
      <c r="T154" s="91"/>
      <c r="U154" s="91"/>
      <c r="V154" s="99">
        <f t="shared" si="5"/>
        <v>6.4109999999999996</v>
      </c>
      <c r="W154" s="34"/>
      <c r="X154" s="34"/>
      <c r="Y154" s="34"/>
      <c r="Z154" s="34"/>
      <c r="AA154" s="34"/>
      <c r="AB154" s="34"/>
      <c r="AC154" s="34"/>
      <c r="AD154" s="34"/>
      <c r="AE154" s="34"/>
      <c r="AF154" s="34"/>
      <c r="AG154" s="34"/>
      <c r="AH154" s="34"/>
      <c r="AI154" s="34" t="s">
        <v>305</v>
      </c>
      <c r="AJ154" s="34"/>
      <c r="AK154" s="34"/>
      <c r="AL154" s="34"/>
      <c r="AM154" s="34"/>
      <c r="AN154" s="34"/>
      <c r="AO154" s="34"/>
      <c r="AP154" s="34"/>
      <c r="AQ154" s="34"/>
      <c r="AR154" s="34"/>
      <c r="AS154" s="34"/>
      <c r="AT154" s="34"/>
      <c r="AU154" s="34"/>
      <c r="AV154" s="34"/>
      <c r="AW154" s="34"/>
      <c r="AX154" s="34"/>
      <c r="AY154" s="34"/>
      <c r="AZ154" s="34"/>
      <c r="BA154" s="5"/>
    </row>
    <row r="155" spans="1:53" ht="15.75" thickBot="1" x14ac:dyDescent="0.3">
      <c r="A155" s="24" t="s">
        <v>306</v>
      </c>
      <c r="B155" s="24" t="s">
        <v>306</v>
      </c>
      <c r="C155" s="24" t="s">
        <v>306</v>
      </c>
      <c r="D155" s="24" t="s">
        <v>306</v>
      </c>
      <c r="E155" s="24" t="s">
        <v>305</v>
      </c>
      <c r="F155" s="24" t="s">
        <v>306</v>
      </c>
      <c r="G155" s="24" t="s">
        <v>306</v>
      </c>
      <c r="H155" s="24" t="s">
        <v>306</v>
      </c>
      <c r="I155" s="24" t="s">
        <v>306</v>
      </c>
      <c r="J155" s="5" t="s">
        <v>25</v>
      </c>
      <c r="K155" s="205" t="s">
        <v>114</v>
      </c>
      <c r="L155" s="205" t="s">
        <v>402</v>
      </c>
      <c r="M155" s="5" t="s">
        <v>113</v>
      </c>
      <c r="N155" s="5" t="s">
        <v>392</v>
      </c>
      <c r="O155" s="5">
        <v>1E-3</v>
      </c>
      <c r="P155" s="91"/>
      <c r="Q155" s="91"/>
      <c r="R155" s="286">
        <v>6.4106100000000001</v>
      </c>
      <c r="S155" s="91"/>
      <c r="T155" s="91"/>
      <c r="U155" s="91"/>
      <c r="V155" s="99">
        <f t="shared" si="5"/>
        <v>6.4109999999999996</v>
      </c>
      <c r="W155" s="34"/>
      <c r="X155" s="34"/>
      <c r="Y155" s="34"/>
      <c r="Z155" s="34"/>
      <c r="AA155" s="34"/>
      <c r="AB155" s="34"/>
      <c r="AC155" s="34"/>
      <c r="AD155" s="34"/>
      <c r="AE155" s="34"/>
      <c r="AF155" s="34"/>
      <c r="AG155" s="34"/>
      <c r="AH155" s="34"/>
      <c r="AI155" s="34" t="s">
        <v>305</v>
      </c>
      <c r="AJ155" s="34"/>
      <c r="AK155" s="34"/>
      <c r="AL155" s="34"/>
      <c r="AM155" s="34"/>
      <c r="AN155" s="34"/>
      <c r="AO155" s="34"/>
      <c r="AP155" s="34"/>
      <c r="AQ155" s="34"/>
      <c r="AR155" s="34"/>
      <c r="AS155" s="34"/>
      <c r="AT155" s="34"/>
      <c r="AU155" s="34"/>
      <c r="AV155" s="34"/>
      <c r="AW155" s="34"/>
      <c r="AX155" s="34"/>
      <c r="AY155" s="34"/>
      <c r="AZ155" s="34"/>
      <c r="BA155" s="5"/>
    </row>
    <row r="156" spans="1:53" ht="15.75" thickBot="1" x14ac:dyDescent="0.3">
      <c r="A156" s="24" t="s">
        <v>306</v>
      </c>
      <c r="B156" s="24" t="s">
        <v>306</v>
      </c>
      <c r="C156" s="24" t="s">
        <v>306</v>
      </c>
      <c r="D156" s="24" t="s">
        <v>306</v>
      </c>
      <c r="E156" s="24" t="s">
        <v>305</v>
      </c>
      <c r="F156" s="24" t="s">
        <v>306</v>
      </c>
      <c r="G156" s="24" t="s">
        <v>306</v>
      </c>
      <c r="H156" s="24" t="s">
        <v>306</v>
      </c>
      <c r="I156" s="24" t="s">
        <v>306</v>
      </c>
      <c r="J156" s="5" t="s">
        <v>25</v>
      </c>
      <c r="K156" s="205" t="s">
        <v>114</v>
      </c>
      <c r="L156" s="205" t="s">
        <v>112</v>
      </c>
      <c r="M156" s="5" t="s">
        <v>113</v>
      </c>
      <c r="N156" s="5" t="s">
        <v>392</v>
      </c>
      <c r="O156" s="5">
        <v>1E-3</v>
      </c>
      <c r="P156" s="91"/>
      <c r="Q156" s="91"/>
      <c r="R156" s="286">
        <v>8.8838600000000003</v>
      </c>
      <c r="S156" s="91"/>
      <c r="T156" s="91"/>
      <c r="U156" s="91"/>
      <c r="V156" s="99">
        <f t="shared" si="5"/>
        <v>8.8840000000000003</v>
      </c>
      <c r="W156" s="34"/>
      <c r="X156" s="34"/>
      <c r="Y156" s="34"/>
      <c r="Z156" s="34"/>
      <c r="AA156" s="34"/>
      <c r="AB156" s="34"/>
      <c r="AC156" s="34"/>
      <c r="AD156" s="34"/>
      <c r="AE156" s="34"/>
      <c r="AF156" s="34"/>
      <c r="AG156" s="34"/>
      <c r="AH156" s="34"/>
      <c r="AI156" s="34" t="s">
        <v>305</v>
      </c>
      <c r="AJ156" s="34"/>
      <c r="AK156" s="34"/>
      <c r="AL156" s="34"/>
      <c r="AM156" s="34"/>
      <c r="AN156" s="34"/>
      <c r="AO156" s="34"/>
      <c r="AP156" s="34"/>
      <c r="AQ156" s="34"/>
      <c r="AR156" s="34"/>
      <c r="AS156" s="34"/>
      <c r="AT156" s="34"/>
      <c r="AU156" s="34"/>
      <c r="AV156" s="34"/>
      <c r="AW156" s="34"/>
      <c r="AX156" s="34"/>
      <c r="AY156" s="34"/>
      <c r="AZ156" s="34"/>
      <c r="BA156" s="5"/>
    </row>
    <row r="157" spans="1:53" ht="51.75" thickBot="1" x14ac:dyDescent="0.3">
      <c r="A157" s="24" t="s">
        <v>306</v>
      </c>
      <c r="B157" s="24" t="s">
        <v>306</v>
      </c>
      <c r="C157" s="24" t="s">
        <v>306</v>
      </c>
      <c r="D157" s="24" t="s">
        <v>306</v>
      </c>
      <c r="E157" s="24" t="s">
        <v>305</v>
      </c>
      <c r="F157" s="24" t="s">
        <v>306</v>
      </c>
      <c r="G157" s="24" t="s">
        <v>306</v>
      </c>
      <c r="H157" s="24" t="s">
        <v>306</v>
      </c>
      <c r="I157" s="24" t="s">
        <v>306</v>
      </c>
      <c r="J157" s="194" t="s">
        <v>694</v>
      </c>
      <c r="K157" s="5" t="s">
        <v>114</v>
      </c>
      <c r="L157" s="5" t="s">
        <v>115</v>
      </c>
      <c r="M157" s="5" t="s">
        <v>113</v>
      </c>
      <c r="N157" s="5" t="s">
        <v>392</v>
      </c>
      <c r="O157" s="5">
        <v>1E-3</v>
      </c>
      <c r="P157" s="91"/>
      <c r="Q157" s="91"/>
      <c r="R157" s="286">
        <v>0</v>
      </c>
      <c r="S157" s="91"/>
      <c r="T157" s="91"/>
      <c r="U157" s="91"/>
      <c r="V157" s="99">
        <f t="shared" si="5"/>
        <v>0</v>
      </c>
      <c r="W157" s="34"/>
      <c r="X157" s="34"/>
      <c r="Y157" s="34"/>
      <c r="Z157" s="34"/>
      <c r="AA157" s="34"/>
      <c r="AB157" s="34"/>
      <c r="AC157" s="34"/>
      <c r="AD157" s="34"/>
      <c r="AE157" s="34"/>
      <c r="AF157" s="34"/>
      <c r="AG157" s="34"/>
      <c r="AH157" s="34"/>
      <c r="AI157" s="34" t="s">
        <v>305</v>
      </c>
      <c r="AJ157" s="34"/>
      <c r="AK157" s="34"/>
      <c r="AL157" s="34"/>
      <c r="AM157" s="34"/>
      <c r="AN157" s="34"/>
      <c r="AO157" s="34"/>
      <c r="AP157" s="34"/>
      <c r="AQ157" s="34"/>
      <c r="AR157" s="34" t="s">
        <v>305</v>
      </c>
      <c r="AS157" s="34"/>
      <c r="AT157" s="34"/>
      <c r="AU157" s="34"/>
      <c r="AV157" s="34"/>
      <c r="AW157" s="34"/>
      <c r="AX157" s="34"/>
      <c r="AY157" s="34"/>
      <c r="AZ157" s="34"/>
      <c r="BA157" s="5" t="s">
        <v>1059</v>
      </c>
    </row>
    <row r="158" spans="1:53" ht="51.75" thickBot="1" x14ac:dyDescent="0.3">
      <c r="A158" s="24" t="s">
        <v>306</v>
      </c>
      <c r="B158" s="24" t="s">
        <v>306</v>
      </c>
      <c r="C158" s="24" t="s">
        <v>306</v>
      </c>
      <c r="D158" s="24" t="s">
        <v>306</v>
      </c>
      <c r="E158" s="24" t="s">
        <v>305</v>
      </c>
      <c r="F158" s="24" t="s">
        <v>306</v>
      </c>
      <c r="G158" s="24" t="s">
        <v>306</v>
      </c>
      <c r="H158" s="24" t="s">
        <v>306</v>
      </c>
      <c r="I158" s="24" t="s">
        <v>306</v>
      </c>
      <c r="J158" s="194" t="s">
        <v>694</v>
      </c>
      <c r="K158" s="5" t="s">
        <v>114</v>
      </c>
      <c r="L158" s="5" t="s">
        <v>402</v>
      </c>
      <c r="M158" s="5" t="s">
        <v>113</v>
      </c>
      <c r="N158" s="5" t="s">
        <v>392</v>
      </c>
      <c r="O158" s="5">
        <v>1E-3</v>
      </c>
      <c r="P158" s="91"/>
      <c r="Q158" s="91"/>
      <c r="R158" s="286">
        <v>0</v>
      </c>
      <c r="S158" s="91"/>
      <c r="T158" s="91"/>
      <c r="U158" s="91"/>
      <c r="V158" s="99">
        <f t="shared" si="5"/>
        <v>0</v>
      </c>
      <c r="W158" s="34"/>
      <c r="X158" s="34"/>
      <c r="Y158" s="34"/>
      <c r="Z158" s="34"/>
      <c r="AA158" s="34"/>
      <c r="AB158" s="34"/>
      <c r="AC158" s="34"/>
      <c r="AD158" s="34"/>
      <c r="AE158" s="34"/>
      <c r="AF158" s="34"/>
      <c r="AG158" s="34"/>
      <c r="AH158" s="34"/>
      <c r="AI158" s="34" t="s">
        <v>305</v>
      </c>
      <c r="AJ158" s="34"/>
      <c r="AK158" s="34"/>
      <c r="AL158" s="34"/>
      <c r="AM158" s="34"/>
      <c r="AN158" s="34"/>
      <c r="AO158" s="34"/>
      <c r="AP158" s="34"/>
      <c r="AQ158" s="34"/>
      <c r="AR158" s="34" t="s">
        <v>305</v>
      </c>
      <c r="AS158" s="34"/>
      <c r="AT158" s="34"/>
      <c r="AU158" s="34"/>
      <c r="AV158" s="34"/>
      <c r="AW158" s="34"/>
      <c r="AX158" s="34"/>
      <c r="AY158" s="34"/>
      <c r="AZ158" s="34"/>
      <c r="BA158" s="5" t="s">
        <v>1059</v>
      </c>
    </row>
    <row r="159" spans="1:53" ht="102.75" thickBot="1" x14ac:dyDescent="0.3">
      <c r="A159" s="24" t="s">
        <v>306</v>
      </c>
      <c r="B159" s="24" t="s">
        <v>306</v>
      </c>
      <c r="C159" s="24" t="s">
        <v>306</v>
      </c>
      <c r="D159" s="24" t="s">
        <v>306</v>
      </c>
      <c r="E159" s="24" t="s">
        <v>305</v>
      </c>
      <c r="F159" s="24" t="s">
        <v>306</v>
      </c>
      <c r="G159" s="24" t="s">
        <v>306</v>
      </c>
      <c r="H159" s="24" t="s">
        <v>306</v>
      </c>
      <c r="I159" s="24" t="s">
        <v>306</v>
      </c>
      <c r="J159" s="194" t="s">
        <v>694</v>
      </c>
      <c r="K159" s="5" t="s">
        <v>114</v>
      </c>
      <c r="L159" s="5" t="s">
        <v>112</v>
      </c>
      <c r="M159" s="5" t="s">
        <v>113</v>
      </c>
      <c r="N159" s="5" t="s">
        <v>392</v>
      </c>
      <c r="O159" s="5">
        <v>1E-3</v>
      </c>
      <c r="P159" s="91"/>
      <c r="Q159" s="91"/>
      <c r="R159" s="286">
        <f>R156-(10*2*P145)</f>
        <v>4.8684600000000007</v>
      </c>
      <c r="S159" s="91"/>
      <c r="T159" s="91"/>
      <c r="U159" s="91"/>
      <c r="V159" s="99">
        <f t="shared" si="5"/>
        <v>4.8680000000000003</v>
      </c>
      <c r="W159" s="34"/>
      <c r="X159" s="34"/>
      <c r="Y159" s="34"/>
      <c r="Z159" s="34"/>
      <c r="AA159" s="34"/>
      <c r="AB159" s="34"/>
      <c r="AC159" s="34"/>
      <c r="AD159" s="34"/>
      <c r="AE159" s="34"/>
      <c r="AF159" s="34"/>
      <c r="AG159" s="34"/>
      <c r="AH159" s="34"/>
      <c r="AI159" s="34" t="s">
        <v>305</v>
      </c>
      <c r="AJ159" s="34"/>
      <c r="AK159" s="34"/>
      <c r="AL159" s="34"/>
      <c r="AM159" s="34"/>
      <c r="AN159" s="34"/>
      <c r="AO159" s="34"/>
      <c r="AP159" s="34"/>
      <c r="AQ159" s="34"/>
      <c r="AR159" s="34" t="s">
        <v>305</v>
      </c>
      <c r="AS159" s="34"/>
      <c r="AT159" s="34"/>
      <c r="AU159" s="34"/>
      <c r="AV159" s="34"/>
      <c r="AW159" s="34"/>
      <c r="AX159" s="34"/>
      <c r="AY159" s="34"/>
      <c r="AZ159" s="34"/>
      <c r="BA159" s="5" t="s">
        <v>1060</v>
      </c>
    </row>
    <row r="160" spans="1:53" ht="15.75" thickBot="1" x14ac:dyDescent="0.3">
      <c r="A160" s="24" t="s">
        <v>306</v>
      </c>
      <c r="B160" s="24" t="s">
        <v>306</v>
      </c>
      <c r="C160" s="24" t="s">
        <v>306</v>
      </c>
      <c r="D160" s="24" t="s">
        <v>306</v>
      </c>
      <c r="E160" s="24" t="s">
        <v>305</v>
      </c>
      <c r="F160" s="24" t="s">
        <v>306</v>
      </c>
      <c r="G160" s="24" t="s">
        <v>306</v>
      </c>
      <c r="H160" s="24" t="s">
        <v>306</v>
      </c>
      <c r="I160" s="24" t="s">
        <v>306</v>
      </c>
      <c r="J160" s="5" t="s">
        <v>25</v>
      </c>
      <c r="K160" s="5" t="s">
        <v>409</v>
      </c>
      <c r="L160" s="5" t="s">
        <v>115</v>
      </c>
      <c r="M160" s="5" t="s">
        <v>113</v>
      </c>
      <c r="N160" s="5" t="s">
        <v>392</v>
      </c>
      <c r="O160" s="5">
        <v>1E-3</v>
      </c>
      <c r="P160" s="91"/>
      <c r="Q160" s="91"/>
      <c r="R160" s="286">
        <v>6.4106100000000001</v>
      </c>
      <c r="S160" s="91"/>
      <c r="T160" s="91"/>
      <c r="U160" s="91"/>
      <c r="V160" s="99">
        <f t="shared" si="5"/>
        <v>6.4109999999999996</v>
      </c>
      <c r="W160" s="34"/>
      <c r="X160" s="34"/>
      <c r="Y160" s="34"/>
      <c r="Z160" s="34"/>
      <c r="AA160" s="34"/>
      <c r="AB160" s="34"/>
      <c r="AC160" s="34"/>
      <c r="AD160" s="34"/>
      <c r="AE160" s="34"/>
      <c r="AF160" s="34"/>
      <c r="AG160" s="34"/>
      <c r="AH160" s="34"/>
      <c r="AI160" s="34" t="s">
        <v>305</v>
      </c>
      <c r="AJ160" s="34"/>
      <c r="AK160" s="34"/>
      <c r="AL160" s="34"/>
      <c r="AM160" s="34"/>
      <c r="AN160" s="34"/>
      <c r="AO160" s="34"/>
      <c r="AP160" s="34"/>
      <c r="AQ160" s="34"/>
      <c r="AR160" s="34"/>
      <c r="AS160" s="34"/>
      <c r="AT160" s="34"/>
      <c r="AU160" s="34"/>
      <c r="AV160" s="34"/>
      <c r="AW160" s="34"/>
      <c r="AX160" s="34"/>
      <c r="AY160" s="34"/>
      <c r="AZ160" s="34"/>
      <c r="BA160" s="5"/>
    </row>
    <row r="161" spans="1:53" ht="51.75" thickBot="1" x14ac:dyDescent="0.3">
      <c r="A161" s="24" t="s">
        <v>306</v>
      </c>
      <c r="B161" s="24" t="s">
        <v>306</v>
      </c>
      <c r="C161" s="24" t="s">
        <v>306</v>
      </c>
      <c r="D161" s="24" t="s">
        <v>306</v>
      </c>
      <c r="E161" s="24" t="s">
        <v>305</v>
      </c>
      <c r="F161" s="24" t="s">
        <v>306</v>
      </c>
      <c r="G161" s="24" t="s">
        <v>306</v>
      </c>
      <c r="H161" s="24" t="s">
        <v>306</v>
      </c>
      <c r="I161" s="24" t="s">
        <v>306</v>
      </c>
      <c r="J161" s="194" t="s">
        <v>694</v>
      </c>
      <c r="K161" s="5" t="s">
        <v>409</v>
      </c>
      <c r="L161" s="5" t="s">
        <v>115</v>
      </c>
      <c r="M161" s="5" t="s">
        <v>113</v>
      </c>
      <c r="N161" s="5" t="s">
        <v>392</v>
      </c>
      <c r="O161" s="5">
        <v>1E-3</v>
      </c>
      <c r="P161" s="91"/>
      <c r="Q161" s="91"/>
      <c r="R161" s="286">
        <v>0</v>
      </c>
      <c r="S161" s="91"/>
      <c r="T161" s="91"/>
      <c r="U161" s="91"/>
      <c r="V161" s="99">
        <f t="shared" si="5"/>
        <v>0</v>
      </c>
      <c r="W161" s="34"/>
      <c r="X161" s="34"/>
      <c r="Y161" s="34"/>
      <c r="Z161" s="34"/>
      <c r="AA161" s="34"/>
      <c r="AB161" s="34"/>
      <c r="AC161" s="34"/>
      <c r="AD161" s="34"/>
      <c r="AE161" s="34"/>
      <c r="AF161" s="34"/>
      <c r="AG161" s="34"/>
      <c r="AH161" s="34"/>
      <c r="AI161" s="34" t="s">
        <v>305</v>
      </c>
      <c r="AJ161" s="34"/>
      <c r="AK161" s="34"/>
      <c r="AL161" s="34"/>
      <c r="AM161" s="34"/>
      <c r="AN161" s="34"/>
      <c r="AO161" s="34"/>
      <c r="AP161" s="34"/>
      <c r="AQ161" s="34"/>
      <c r="AR161" s="34" t="s">
        <v>305</v>
      </c>
      <c r="AS161" s="34"/>
      <c r="AT161" s="34"/>
      <c r="AU161" s="34"/>
      <c r="AV161" s="34"/>
      <c r="AW161" s="34"/>
      <c r="AX161" s="34"/>
      <c r="AY161" s="34"/>
      <c r="AZ161" s="34"/>
      <c r="BA161" s="5" t="s">
        <v>1059</v>
      </c>
    </row>
    <row r="162" spans="1:53" ht="15.75" thickBot="1" x14ac:dyDescent="0.3">
      <c r="A162" s="24" t="s">
        <v>306</v>
      </c>
      <c r="B162" s="24" t="s">
        <v>306</v>
      </c>
      <c r="C162" s="24" t="s">
        <v>306</v>
      </c>
      <c r="D162" s="24" t="s">
        <v>306</v>
      </c>
      <c r="E162" s="24" t="s">
        <v>305</v>
      </c>
      <c r="F162" s="24" t="s">
        <v>306</v>
      </c>
      <c r="G162" s="24" t="s">
        <v>306</v>
      </c>
      <c r="H162" s="24" t="s">
        <v>306</v>
      </c>
      <c r="I162" s="24" t="s">
        <v>306</v>
      </c>
      <c r="J162" s="194" t="s">
        <v>25</v>
      </c>
      <c r="K162" s="5" t="s">
        <v>410</v>
      </c>
      <c r="L162" s="5" t="s">
        <v>115</v>
      </c>
      <c r="M162" s="5" t="s">
        <v>113</v>
      </c>
      <c r="N162" s="5" t="s">
        <v>392</v>
      </c>
      <c r="O162" s="5">
        <v>1E-3</v>
      </c>
      <c r="P162" s="91"/>
      <c r="Q162" s="91"/>
      <c r="R162" s="286">
        <v>6.4106100000000001</v>
      </c>
      <c r="S162" s="91"/>
      <c r="T162" s="91"/>
      <c r="U162" s="91"/>
      <c r="V162" s="99">
        <f t="shared" si="5"/>
        <v>6.4109999999999996</v>
      </c>
      <c r="W162" s="34"/>
      <c r="X162" s="34"/>
      <c r="Y162" s="34"/>
      <c r="Z162" s="34"/>
      <c r="AA162" s="34"/>
      <c r="AB162" s="34"/>
      <c r="AC162" s="34"/>
      <c r="AD162" s="34"/>
      <c r="AE162" s="34"/>
      <c r="AF162" s="34"/>
      <c r="AG162" s="34"/>
      <c r="AH162" s="34"/>
      <c r="AI162" s="34" t="s">
        <v>305</v>
      </c>
      <c r="AJ162" s="34"/>
      <c r="AK162" s="34"/>
      <c r="AL162" s="34"/>
      <c r="AM162" s="34"/>
      <c r="AN162" s="34"/>
      <c r="AO162" s="34"/>
      <c r="AP162" s="34"/>
      <c r="AQ162" s="34"/>
      <c r="AR162" s="34"/>
      <c r="AS162" s="34"/>
      <c r="AT162" s="34"/>
      <c r="AU162" s="34"/>
      <c r="AV162" s="34"/>
      <c r="AW162" s="34"/>
      <c r="AX162" s="34"/>
      <c r="AY162" s="34"/>
      <c r="AZ162" s="34"/>
      <c r="BA162" s="5"/>
    </row>
    <row r="163" spans="1:53" ht="51.75" thickBot="1" x14ac:dyDescent="0.3">
      <c r="A163" s="24" t="s">
        <v>306</v>
      </c>
      <c r="B163" s="24" t="s">
        <v>306</v>
      </c>
      <c r="C163" s="24" t="s">
        <v>306</v>
      </c>
      <c r="D163" s="24" t="s">
        <v>306</v>
      </c>
      <c r="E163" s="24" t="s">
        <v>305</v>
      </c>
      <c r="F163" s="24" t="s">
        <v>306</v>
      </c>
      <c r="G163" s="24" t="s">
        <v>306</v>
      </c>
      <c r="H163" s="24" t="s">
        <v>306</v>
      </c>
      <c r="I163" s="24" t="s">
        <v>306</v>
      </c>
      <c r="J163" s="194" t="s">
        <v>694</v>
      </c>
      <c r="K163" s="5" t="s">
        <v>410</v>
      </c>
      <c r="L163" s="5" t="s">
        <v>115</v>
      </c>
      <c r="M163" s="5" t="s">
        <v>113</v>
      </c>
      <c r="N163" s="5" t="s">
        <v>392</v>
      </c>
      <c r="O163" s="5">
        <v>1E-3</v>
      </c>
      <c r="P163" s="91"/>
      <c r="Q163" s="91"/>
      <c r="R163" s="286">
        <v>0</v>
      </c>
      <c r="S163" s="91"/>
      <c r="T163" s="91"/>
      <c r="U163" s="91"/>
      <c r="V163" s="99">
        <f t="shared" si="5"/>
        <v>0</v>
      </c>
      <c r="W163" s="34"/>
      <c r="X163" s="34"/>
      <c r="Y163" s="34"/>
      <c r="Z163" s="34"/>
      <c r="AA163" s="34"/>
      <c r="AB163" s="34"/>
      <c r="AC163" s="34"/>
      <c r="AD163" s="34"/>
      <c r="AE163" s="34"/>
      <c r="AF163" s="34"/>
      <c r="AG163" s="34"/>
      <c r="AH163" s="34"/>
      <c r="AI163" s="34" t="s">
        <v>305</v>
      </c>
      <c r="AJ163" s="34"/>
      <c r="AK163" s="34"/>
      <c r="AL163" s="34"/>
      <c r="AM163" s="34"/>
      <c r="AN163" s="34"/>
      <c r="AO163" s="34"/>
      <c r="AP163" s="34"/>
      <c r="AQ163" s="34"/>
      <c r="AR163" s="34" t="s">
        <v>305</v>
      </c>
      <c r="AS163" s="34"/>
      <c r="AT163" s="34"/>
      <c r="AU163" s="34"/>
      <c r="AV163" s="34"/>
      <c r="AW163" s="34"/>
      <c r="AX163" s="34"/>
      <c r="AY163" s="34"/>
      <c r="AZ163" s="34"/>
      <c r="BA163" s="5" t="s">
        <v>1059</v>
      </c>
    </row>
    <row r="164" spans="1:53" ht="15.75" thickBot="1" x14ac:dyDescent="0.3">
      <c r="A164" s="24" t="s">
        <v>306</v>
      </c>
      <c r="B164" s="24" t="s">
        <v>306</v>
      </c>
      <c r="C164" s="24" t="s">
        <v>306</v>
      </c>
      <c r="D164" s="24" t="s">
        <v>306</v>
      </c>
      <c r="E164" s="24" t="s">
        <v>305</v>
      </c>
      <c r="F164" s="24" t="s">
        <v>306</v>
      </c>
      <c r="G164" s="24" t="s">
        <v>306</v>
      </c>
      <c r="H164" s="24" t="s">
        <v>306</v>
      </c>
      <c r="I164" s="24" t="s">
        <v>306</v>
      </c>
      <c r="J164" s="5" t="s">
        <v>25</v>
      </c>
      <c r="K164" s="5" t="s">
        <v>411</v>
      </c>
      <c r="L164" s="5" t="s">
        <v>115</v>
      </c>
      <c r="M164" s="5" t="s">
        <v>113</v>
      </c>
      <c r="N164" s="5" t="s">
        <v>392</v>
      </c>
      <c r="O164" s="5">
        <v>1E-3</v>
      </c>
      <c r="P164" s="91"/>
      <c r="Q164" s="91"/>
      <c r="R164" s="286">
        <v>6.4106100000000001</v>
      </c>
      <c r="S164" s="91"/>
      <c r="T164" s="91"/>
      <c r="U164" s="91"/>
      <c r="V164" s="99">
        <f t="shared" si="5"/>
        <v>6.4109999999999996</v>
      </c>
      <c r="W164" s="34"/>
      <c r="X164" s="34"/>
      <c r="Y164" s="34"/>
      <c r="Z164" s="34"/>
      <c r="AA164" s="34"/>
      <c r="AB164" s="34"/>
      <c r="AC164" s="34"/>
      <c r="AD164" s="34"/>
      <c r="AE164" s="34"/>
      <c r="AF164" s="34"/>
      <c r="AG164" s="34"/>
      <c r="AH164" s="34"/>
      <c r="AI164" s="34" t="s">
        <v>305</v>
      </c>
      <c r="AJ164" s="34"/>
      <c r="AK164" s="34"/>
      <c r="AL164" s="34"/>
      <c r="AM164" s="34"/>
      <c r="AN164" s="34"/>
      <c r="AO164" s="34"/>
      <c r="AP164" s="34"/>
      <c r="AQ164" s="34"/>
      <c r="AR164" s="34"/>
      <c r="AS164" s="34"/>
      <c r="AT164" s="34"/>
      <c r="AU164" s="34"/>
      <c r="AV164" s="34"/>
      <c r="AW164" s="34"/>
      <c r="AX164" s="34"/>
      <c r="AY164" s="34"/>
      <c r="AZ164" s="34"/>
      <c r="BA164" s="5"/>
    </row>
    <row r="165" spans="1:53" ht="51.75" thickBot="1" x14ac:dyDescent="0.3">
      <c r="A165" s="24" t="s">
        <v>306</v>
      </c>
      <c r="B165" s="24" t="s">
        <v>306</v>
      </c>
      <c r="C165" s="24" t="s">
        <v>306</v>
      </c>
      <c r="D165" s="24" t="s">
        <v>306</v>
      </c>
      <c r="E165" s="24" t="s">
        <v>305</v>
      </c>
      <c r="F165" s="24" t="s">
        <v>306</v>
      </c>
      <c r="G165" s="24" t="s">
        <v>306</v>
      </c>
      <c r="H165" s="24" t="s">
        <v>306</v>
      </c>
      <c r="I165" s="24" t="s">
        <v>306</v>
      </c>
      <c r="J165" s="194" t="s">
        <v>694</v>
      </c>
      <c r="K165" s="5" t="s">
        <v>411</v>
      </c>
      <c r="L165" s="5" t="s">
        <v>115</v>
      </c>
      <c r="M165" s="5" t="s">
        <v>113</v>
      </c>
      <c r="N165" s="5" t="s">
        <v>392</v>
      </c>
      <c r="O165" s="5">
        <v>1E-3</v>
      </c>
      <c r="P165" s="91"/>
      <c r="Q165" s="91"/>
      <c r="R165" s="286">
        <v>0</v>
      </c>
      <c r="S165" s="91"/>
      <c r="T165" s="91"/>
      <c r="U165" s="91"/>
      <c r="V165" s="99">
        <f t="shared" si="5"/>
        <v>0</v>
      </c>
      <c r="W165" s="34"/>
      <c r="X165" s="34"/>
      <c r="Y165" s="34"/>
      <c r="Z165" s="34"/>
      <c r="AA165" s="34"/>
      <c r="AB165" s="34"/>
      <c r="AC165" s="34"/>
      <c r="AD165" s="34"/>
      <c r="AE165" s="34"/>
      <c r="AF165" s="34"/>
      <c r="AG165" s="34"/>
      <c r="AH165" s="34"/>
      <c r="AI165" s="34" t="s">
        <v>305</v>
      </c>
      <c r="AJ165" s="34"/>
      <c r="AK165" s="34"/>
      <c r="AL165" s="34"/>
      <c r="AM165" s="34"/>
      <c r="AN165" s="34"/>
      <c r="AO165" s="34"/>
      <c r="AP165" s="34"/>
      <c r="AQ165" s="34"/>
      <c r="AR165" s="34" t="s">
        <v>305</v>
      </c>
      <c r="AS165" s="34"/>
      <c r="AT165" s="34"/>
      <c r="AU165" s="34"/>
      <c r="AV165" s="34"/>
      <c r="AW165" s="34"/>
      <c r="AX165" s="34"/>
      <c r="AY165" s="34"/>
      <c r="AZ165" s="34"/>
      <c r="BA165" s="5" t="s">
        <v>1059</v>
      </c>
    </row>
    <row r="166" spans="1:53" ht="15.75" thickBot="1" x14ac:dyDescent="0.3">
      <c r="A166" s="24" t="s">
        <v>306</v>
      </c>
      <c r="B166" s="24" t="s">
        <v>306</v>
      </c>
      <c r="C166" s="24" t="s">
        <v>306</v>
      </c>
      <c r="D166" s="24" t="s">
        <v>306</v>
      </c>
      <c r="E166" s="24" t="s">
        <v>305</v>
      </c>
      <c r="F166" s="24" t="s">
        <v>306</v>
      </c>
      <c r="G166" s="24" t="s">
        <v>306</v>
      </c>
      <c r="H166" s="24" t="s">
        <v>306</v>
      </c>
      <c r="I166" s="24" t="s">
        <v>306</v>
      </c>
      <c r="J166" s="5" t="s">
        <v>25</v>
      </c>
      <c r="K166" s="5" t="s">
        <v>412</v>
      </c>
      <c r="L166" s="5" t="s">
        <v>115</v>
      </c>
      <c r="M166" s="5" t="s">
        <v>113</v>
      </c>
      <c r="N166" s="5" t="s">
        <v>392</v>
      </c>
      <c r="O166" s="5">
        <v>1E-3</v>
      </c>
      <c r="P166" s="91"/>
      <c r="Q166" s="91"/>
      <c r="R166" s="286">
        <v>6.4106100000000001</v>
      </c>
      <c r="S166" s="91"/>
      <c r="T166" s="91"/>
      <c r="U166" s="91"/>
      <c r="V166" s="99">
        <f t="shared" si="5"/>
        <v>6.4109999999999996</v>
      </c>
      <c r="W166" s="34"/>
      <c r="X166" s="34"/>
      <c r="Y166" s="34"/>
      <c r="Z166" s="34"/>
      <c r="AA166" s="34"/>
      <c r="AB166" s="34"/>
      <c r="AC166" s="34"/>
      <c r="AD166" s="34"/>
      <c r="AE166" s="34"/>
      <c r="AF166" s="34"/>
      <c r="AG166" s="34"/>
      <c r="AH166" s="34"/>
      <c r="AI166" s="34" t="s">
        <v>305</v>
      </c>
      <c r="AJ166" s="34"/>
      <c r="AK166" s="34"/>
      <c r="AL166" s="34"/>
      <c r="AM166" s="34"/>
      <c r="AN166" s="34"/>
      <c r="AO166" s="34"/>
      <c r="AP166" s="34"/>
      <c r="AQ166" s="34"/>
      <c r="AR166" s="34"/>
      <c r="AS166" s="34"/>
      <c r="AT166" s="34"/>
      <c r="AU166" s="34"/>
      <c r="AV166" s="34"/>
      <c r="AW166" s="34"/>
      <c r="AX166" s="34"/>
      <c r="AY166" s="34"/>
      <c r="AZ166" s="34"/>
      <c r="BA166" s="5"/>
    </row>
    <row r="167" spans="1:53" ht="15.75" thickBot="1" x14ac:dyDescent="0.3">
      <c r="A167" s="24" t="s">
        <v>306</v>
      </c>
      <c r="B167" s="24" t="s">
        <v>306</v>
      </c>
      <c r="C167" s="24" t="s">
        <v>306</v>
      </c>
      <c r="D167" s="24" t="s">
        <v>306</v>
      </c>
      <c r="E167" s="24" t="s">
        <v>305</v>
      </c>
      <c r="F167" s="24" t="s">
        <v>306</v>
      </c>
      <c r="G167" s="24" t="s">
        <v>306</v>
      </c>
      <c r="H167" s="24" t="s">
        <v>306</v>
      </c>
      <c r="I167" s="24" t="s">
        <v>306</v>
      </c>
      <c r="J167" s="5" t="s">
        <v>25</v>
      </c>
      <c r="K167" s="5" t="s">
        <v>412</v>
      </c>
      <c r="L167" s="5" t="s">
        <v>406</v>
      </c>
      <c r="M167" s="5" t="s">
        <v>113</v>
      </c>
      <c r="N167" s="5" t="s">
        <v>392</v>
      </c>
      <c r="O167" s="5">
        <v>1E-3</v>
      </c>
      <c r="P167" s="91"/>
      <c r="Q167" s="91"/>
      <c r="R167" s="286">
        <v>8.8838600000000003</v>
      </c>
      <c r="S167" s="91"/>
      <c r="T167" s="91"/>
      <c r="U167" s="91"/>
      <c r="V167" s="99">
        <f t="shared" si="5"/>
        <v>8.8840000000000003</v>
      </c>
      <c r="W167" s="34"/>
      <c r="X167" s="34"/>
      <c r="Y167" s="34"/>
      <c r="Z167" s="34"/>
      <c r="AA167" s="34"/>
      <c r="AB167" s="34"/>
      <c r="AC167" s="34"/>
      <c r="AD167" s="34"/>
      <c r="AE167" s="34"/>
      <c r="AF167" s="34"/>
      <c r="AG167" s="34"/>
      <c r="AH167" s="34"/>
      <c r="AI167" s="34" t="s">
        <v>305</v>
      </c>
      <c r="AJ167" s="34"/>
      <c r="AK167" s="34"/>
      <c r="AL167" s="34"/>
      <c r="AM167" s="34"/>
      <c r="AN167" s="34"/>
      <c r="AO167" s="34"/>
      <c r="AP167" s="34"/>
      <c r="AQ167" s="34"/>
      <c r="AR167" s="34"/>
      <c r="AS167" s="34"/>
      <c r="AT167" s="34"/>
      <c r="AU167" s="34"/>
      <c r="AV167" s="34"/>
      <c r="AW167" s="34"/>
      <c r="AX167" s="34"/>
      <c r="AY167" s="34"/>
      <c r="AZ167" s="34"/>
      <c r="BA167" s="5"/>
    </row>
    <row r="168" spans="1:53" ht="51.75" thickBot="1" x14ac:dyDescent="0.3">
      <c r="A168" s="24" t="s">
        <v>306</v>
      </c>
      <c r="B168" s="24" t="s">
        <v>306</v>
      </c>
      <c r="C168" s="24" t="s">
        <v>306</v>
      </c>
      <c r="D168" s="24" t="s">
        <v>306</v>
      </c>
      <c r="E168" s="24" t="s">
        <v>305</v>
      </c>
      <c r="F168" s="24" t="s">
        <v>306</v>
      </c>
      <c r="G168" s="24" t="s">
        <v>306</v>
      </c>
      <c r="H168" s="24" t="s">
        <v>306</v>
      </c>
      <c r="I168" s="24" t="s">
        <v>306</v>
      </c>
      <c r="J168" s="194" t="s">
        <v>694</v>
      </c>
      <c r="K168" s="5" t="s">
        <v>412</v>
      </c>
      <c r="L168" s="5" t="s">
        <v>115</v>
      </c>
      <c r="M168" s="5" t="s">
        <v>113</v>
      </c>
      <c r="N168" s="5" t="s">
        <v>392</v>
      </c>
      <c r="O168" s="5">
        <v>1E-3</v>
      </c>
      <c r="P168" s="91"/>
      <c r="Q168" s="91"/>
      <c r="R168" s="286">
        <v>0</v>
      </c>
      <c r="S168" s="91"/>
      <c r="T168" s="91"/>
      <c r="U168" s="91"/>
      <c r="V168" s="99">
        <f t="shared" si="5"/>
        <v>0</v>
      </c>
      <c r="W168" s="34"/>
      <c r="X168" s="34"/>
      <c r="Y168" s="34"/>
      <c r="Z168" s="34"/>
      <c r="AA168" s="34"/>
      <c r="AB168" s="34"/>
      <c r="AC168" s="34"/>
      <c r="AD168" s="34"/>
      <c r="AE168" s="34"/>
      <c r="AF168" s="34"/>
      <c r="AG168" s="34"/>
      <c r="AH168" s="34"/>
      <c r="AI168" s="34" t="s">
        <v>305</v>
      </c>
      <c r="AJ168" s="34"/>
      <c r="AK168" s="34"/>
      <c r="AL168" s="34"/>
      <c r="AM168" s="34"/>
      <c r="AN168" s="34"/>
      <c r="AO168" s="34"/>
      <c r="AP168" s="34"/>
      <c r="AQ168" s="34"/>
      <c r="AR168" s="34" t="s">
        <v>305</v>
      </c>
      <c r="AS168" s="34"/>
      <c r="AT168" s="34"/>
      <c r="AU168" s="34"/>
      <c r="AV168" s="34"/>
      <c r="AW168" s="34"/>
      <c r="AX168" s="34"/>
      <c r="AY168" s="34"/>
      <c r="AZ168" s="34"/>
      <c r="BA168" s="5" t="s">
        <v>1059</v>
      </c>
    </row>
    <row r="169" spans="1:53" ht="51.75" thickBot="1" x14ac:dyDescent="0.3">
      <c r="A169" s="24" t="s">
        <v>306</v>
      </c>
      <c r="B169" s="24" t="s">
        <v>306</v>
      </c>
      <c r="C169" s="24" t="s">
        <v>306</v>
      </c>
      <c r="D169" s="24" t="s">
        <v>306</v>
      </c>
      <c r="E169" s="24" t="s">
        <v>305</v>
      </c>
      <c r="F169" s="24" t="s">
        <v>306</v>
      </c>
      <c r="G169" s="24" t="s">
        <v>306</v>
      </c>
      <c r="H169" s="24" t="s">
        <v>306</v>
      </c>
      <c r="I169" s="24" t="s">
        <v>306</v>
      </c>
      <c r="J169" s="194" t="s">
        <v>694</v>
      </c>
      <c r="K169" s="5" t="s">
        <v>412</v>
      </c>
      <c r="L169" s="5" t="s">
        <v>406</v>
      </c>
      <c r="M169" s="5" t="s">
        <v>113</v>
      </c>
      <c r="N169" s="5" t="s">
        <v>392</v>
      </c>
      <c r="O169" s="5">
        <v>1E-3</v>
      </c>
      <c r="P169" s="91"/>
      <c r="Q169" s="91"/>
      <c r="R169" s="286">
        <v>0</v>
      </c>
      <c r="S169" s="91"/>
      <c r="T169" s="91"/>
      <c r="U169" s="91"/>
      <c r="V169" s="99">
        <f t="shared" si="5"/>
        <v>0</v>
      </c>
      <c r="W169" s="34"/>
      <c r="X169" s="34"/>
      <c r="Y169" s="34"/>
      <c r="Z169" s="34"/>
      <c r="AA169" s="34"/>
      <c r="AB169" s="34"/>
      <c r="AC169" s="34"/>
      <c r="AD169" s="34"/>
      <c r="AE169" s="34"/>
      <c r="AF169" s="34"/>
      <c r="AG169" s="34"/>
      <c r="AH169" s="34"/>
      <c r="AI169" s="34" t="s">
        <v>305</v>
      </c>
      <c r="AJ169" s="34"/>
      <c r="AK169" s="34"/>
      <c r="AL169" s="34"/>
      <c r="AM169" s="34"/>
      <c r="AN169" s="34"/>
      <c r="AO169" s="34"/>
      <c r="AP169" s="34"/>
      <c r="AQ169" s="34"/>
      <c r="AR169" s="34" t="s">
        <v>305</v>
      </c>
      <c r="AS169" s="34"/>
      <c r="AT169" s="34"/>
      <c r="AU169" s="34"/>
      <c r="AV169" s="34"/>
      <c r="AW169" s="34"/>
      <c r="AX169" s="34"/>
      <c r="AY169" s="34"/>
      <c r="AZ169" s="34"/>
      <c r="BA169" s="5" t="s">
        <v>1059</v>
      </c>
    </row>
    <row r="170" spans="1:53" ht="51.75" thickBot="1" x14ac:dyDescent="0.3">
      <c r="A170" s="24" t="s">
        <v>306</v>
      </c>
      <c r="B170" s="24" t="s">
        <v>306</v>
      </c>
      <c r="C170" s="24" t="s">
        <v>306</v>
      </c>
      <c r="D170" s="24" t="s">
        <v>306</v>
      </c>
      <c r="E170" s="24" t="s">
        <v>305</v>
      </c>
      <c r="F170" s="24" t="s">
        <v>306</v>
      </c>
      <c r="G170" s="24" t="s">
        <v>306</v>
      </c>
      <c r="H170" s="24" t="s">
        <v>306</v>
      </c>
      <c r="I170" s="24" t="s">
        <v>306</v>
      </c>
      <c r="J170" s="194" t="s">
        <v>25</v>
      </c>
      <c r="K170" s="5" t="s">
        <v>413</v>
      </c>
      <c r="L170" s="5" t="s">
        <v>115</v>
      </c>
      <c r="M170" s="5" t="s">
        <v>113</v>
      </c>
      <c r="N170" s="5" t="s">
        <v>392</v>
      </c>
      <c r="O170" s="5">
        <v>1E-3</v>
      </c>
      <c r="P170" s="91"/>
      <c r="Q170" s="91"/>
      <c r="R170" s="286">
        <v>6.4106100000000001</v>
      </c>
      <c r="S170" s="91"/>
      <c r="T170" s="91"/>
      <c r="U170" s="91"/>
      <c r="V170" s="99">
        <f t="shared" si="5"/>
        <v>6.4109999999999996</v>
      </c>
      <c r="W170" s="34"/>
      <c r="X170" s="34"/>
      <c r="Y170" s="34"/>
      <c r="Z170" s="34"/>
      <c r="AA170" s="34"/>
      <c r="AB170" s="34"/>
      <c r="AC170" s="34"/>
      <c r="AD170" s="34"/>
      <c r="AE170" s="34"/>
      <c r="AF170" s="34"/>
      <c r="AG170" s="34"/>
      <c r="AH170" s="34"/>
      <c r="AI170" s="34" t="s">
        <v>306</v>
      </c>
      <c r="AJ170" s="34"/>
      <c r="AK170" s="34"/>
      <c r="AL170" s="34"/>
      <c r="AM170" s="34"/>
      <c r="AN170" s="34"/>
      <c r="AO170" s="34"/>
      <c r="AP170" s="34"/>
      <c r="AQ170" s="34"/>
      <c r="AR170" s="34"/>
      <c r="AS170" s="34"/>
      <c r="AT170" s="34"/>
      <c r="AU170" s="34"/>
      <c r="AV170" s="34"/>
      <c r="AW170" s="34"/>
      <c r="AX170" s="34"/>
      <c r="AY170" s="34"/>
      <c r="AZ170" s="34"/>
      <c r="BA170" s="5" t="s">
        <v>1059</v>
      </c>
    </row>
    <row r="171" spans="1:53" ht="51.75" thickBot="1" x14ac:dyDescent="0.3">
      <c r="A171" s="24" t="s">
        <v>306</v>
      </c>
      <c r="B171" s="24" t="s">
        <v>306</v>
      </c>
      <c r="C171" s="24" t="s">
        <v>306</v>
      </c>
      <c r="D171" s="24" t="s">
        <v>306</v>
      </c>
      <c r="E171" s="24" t="s">
        <v>305</v>
      </c>
      <c r="F171" s="24" t="s">
        <v>306</v>
      </c>
      <c r="G171" s="24" t="s">
        <v>306</v>
      </c>
      <c r="H171" s="24" t="s">
        <v>306</v>
      </c>
      <c r="I171" s="24" t="s">
        <v>306</v>
      </c>
      <c r="J171" s="5" t="s">
        <v>694</v>
      </c>
      <c r="K171" s="5" t="s">
        <v>413</v>
      </c>
      <c r="L171" s="5" t="s">
        <v>115</v>
      </c>
      <c r="M171" s="5" t="s">
        <v>113</v>
      </c>
      <c r="N171" s="5" t="s">
        <v>392</v>
      </c>
      <c r="O171" s="5">
        <v>1E-3</v>
      </c>
      <c r="P171" s="91"/>
      <c r="Q171" s="91"/>
      <c r="R171" s="286">
        <v>0</v>
      </c>
      <c r="S171" s="91"/>
      <c r="T171" s="91"/>
      <c r="U171" s="91"/>
      <c r="V171" s="99">
        <f t="shared" si="5"/>
        <v>0</v>
      </c>
      <c r="W171" s="34"/>
      <c r="X171" s="34"/>
      <c r="Y171" s="34"/>
      <c r="Z171" s="34"/>
      <c r="AA171" s="34"/>
      <c r="AB171" s="34"/>
      <c r="AC171" s="34"/>
      <c r="AD171" s="34"/>
      <c r="AE171" s="34"/>
      <c r="AF171" s="34"/>
      <c r="AG171" s="34"/>
      <c r="AH171" s="34"/>
      <c r="AI171" s="34" t="s">
        <v>306</v>
      </c>
      <c r="AJ171" s="34"/>
      <c r="AK171" s="34"/>
      <c r="AL171" s="34"/>
      <c r="AM171" s="34"/>
      <c r="AN171" s="34"/>
      <c r="AO171" s="34"/>
      <c r="AP171" s="34"/>
      <c r="AQ171" s="34"/>
      <c r="AR171" s="34" t="s">
        <v>305</v>
      </c>
      <c r="AS171" s="34"/>
      <c r="AT171" s="34"/>
      <c r="AU171" s="34"/>
      <c r="AV171" s="34"/>
      <c r="AW171" s="34"/>
      <c r="AX171" s="34"/>
      <c r="AY171" s="34"/>
      <c r="AZ171" s="34"/>
      <c r="BA171" s="5" t="s">
        <v>1059</v>
      </c>
    </row>
    <row r="172" spans="1:53" ht="15.75" thickBot="1" x14ac:dyDescent="0.3">
      <c r="A172" s="24" t="s">
        <v>306</v>
      </c>
      <c r="B172" s="24" t="s">
        <v>306</v>
      </c>
      <c r="C172" s="24" t="s">
        <v>306</v>
      </c>
      <c r="D172" s="24" t="s">
        <v>306</v>
      </c>
      <c r="E172" s="24" t="s">
        <v>305</v>
      </c>
      <c r="F172" s="24" t="s">
        <v>306</v>
      </c>
      <c r="G172" s="24" t="s">
        <v>306</v>
      </c>
      <c r="H172" s="24" t="s">
        <v>306</v>
      </c>
      <c r="I172" s="24" t="s">
        <v>306</v>
      </c>
      <c r="J172" s="5" t="s">
        <v>25</v>
      </c>
      <c r="K172" s="5" t="s">
        <v>414</v>
      </c>
      <c r="L172" s="5" t="s">
        <v>115</v>
      </c>
      <c r="M172" s="5" t="s">
        <v>113</v>
      </c>
      <c r="N172" s="5" t="s">
        <v>392</v>
      </c>
      <c r="O172" s="5">
        <v>1E-3</v>
      </c>
      <c r="P172" s="91"/>
      <c r="Q172" s="91"/>
      <c r="R172" s="286">
        <v>6.4106100000000001</v>
      </c>
      <c r="S172" s="91"/>
      <c r="T172" s="91"/>
      <c r="U172" s="91"/>
      <c r="V172" s="99">
        <f t="shared" si="5"/>
        <v>6.4109999999999996</v>
      </c>
      <c r="W172" s="34"/>
      <c r="X172" s="34"/>
      <c r="Y172" s="34"/>
      <c r="Z172" s="34"/>
      <c r="AA172" s="34"/>
      <c r="AB172" s="34"/>
      <c r="AC172" s="34"/>
      <c r="AD172" s="34"/>
      <c r="AE172" s="34"/>
      <c r="AF172" s="34"/>
      <c r="AG172" s="34"/>
      <c r="AH172" s="34"/>
      <c r="AI172" s="34" t="s">
        <v>305</v>
      </c>
      <c r="AJ172" s="34"/>
      <c r="AK172" s="34"/>
      <c r="AL172" s="34"/>
      <c r="AM172" s="34"/>
      <c r="AN172" s="34"/>
      <c r="AO172" s="34"/>
      <c r="AP172" s="34"/>
      <c r="AQ172" s="34"/>
      <c r="AR172" s="34"/>
      <c r="AS172" s="34"/>
      <c r="AT172" s="34"/>
      <c r="AU172" s="34"/>
      <c r="AV172" s="34"/>
      <c r="AW172" s="34"/>
      <c r="AX172" s="34"/>
      <c r="AY172" s="34"/>
      <c r="AZ172" s="34"/>
      <c r="BA172" s="5"/>
    </row>
    <row r="173" spans="1:53" ht="15.75" thickBot="1" x14ac:dyDescent="0.3">
      <c r="A173" s="24" t="s">
        <v>306</v>
      </c>
      <c r="B173" s="24" t="s">
        <v>306</v>
      </c>
      <c r="C173" s="24" t="s">
        <v>306</v>
      </c>
      <c r="D173" s="24" t="s">
        <v>306</v>
      </c>
      <c r="E173" s="24" t="s">
        <v>305</v>
      </c>
      <c r="F173" s="24" t="s">
        <v>306</v>
      </c>
      <c r="G173" s="24" t="s">
        <v>306</v>
      </c>
      <c r="H173" s="24" t="s">
        <v>306</v>
      </c>
      <c r="I173" s="24" t="s">
        <v>306</v>
      </c>
      <c r="J173" s="5" t="s">
        <v>25</v>
      </c>
      <c r="K173" s="5" t="s">
        <v>414</v>
      </c>
      <c r="L173" s="5" t="s">
        <v>112</v>
      </c>
      <c r="M173" s="5" t="s">
        <v>113</v>
      </c>
      <c r="N173" s="5" t="s">
        <v>392</v>
      </c>
      <c r="O173" s="5">
        <v>1E-3</v>
      </c>
      <c r="P173" s="91"/>
      <c r="Q173" s="91"/>
      <c r="R173" s="286">
        <v>8.8838600000000003</v>
      </c>
      <c r="S173" s="91"/>
      <c r="T173" s="91"/>
      <c r="U173" s="91"/>
      <c r="V173" s="99">
        <f t="shared" si="5"/>
        <v>8.8840000000000003</v>
      </c>
      <c r="W173" s="34"/>
      <c r="X173" s="34"/>
      <c r="Y173" s="34"/>
      <c r="Z173" s="34"/>
      <c r="AA173" s="34"/>
      <c r="AB173" s="34"/>
      <c r="AC173" s="34"/>
      <c r="AD173" s="34"/>
      <c r="AE173" s="34"/>
      <c r="AF173" s="34"/>
      <c r="AG173" s="34"/>
      <c r="AH173" s="34"/>
      <c r="AI173" s="34" t="s">
        <v>305</v>
      </c>
      <c r="AJ173" s="34"/>
      <c r="AK173" s="34"/>
      <c r="AL173" s="34"/>
      <c r="AM173" s="34"/>
      <c r="AN173" s="34"/>
      <c r="AO173" s="34"/>
      <c r="AP173" s="34"/>
      <c r="AQ173" s="34"/>
      <c r="AR173" s="34"/>
      <c r="AS173" s="34"/>
      <c r="AT173" s="34"/>
      <c r="AU173" s="34"/>
      <c r="AV173" s="34"/>
      <c r="AW173" s="34"/>
      <c r="AX173" s="34"/>
      <c r="AY173" s="34"/>
      <c r="AZ173" s="34"/>
      <c r="BA173" s="5"/>
    </row>
    <row r="174" spans="1:53" ht="51.75" thickBot="1" x14ac:dyDescent="0.3">
      <c r="A174" s="24" t="s">
        <v>306</v>
      </c>
      <c r="B174" s="24" t="s">
        <v>306</v>
      </c>
      <c r="C174" s="24" t="s">
        <v>306</v>
      </c>
      <c r="D174" s="24" t="s">
        <v>306</v>
      </c>
      <c r="E174" s="24" t="s">
        <v>305</v>
      </c>
      <c r="F174" s="24" t="s">
        <v>306</v>
      </c>
      <c r="G174" s="24" t="s">
        <v>306</v>
      </c>
      <c r="H174" s="24" t="s">
        <v>306</v>
      </c>
      <c r="I174" s="24" t="s">
        <v>306</v>
      </c>
      <c r="J174" s="5" t="s">
        <v>694</v>
      </c>
      <c r="K174" s="5" t="s">
        <v>414</v>
      </c>
      <c r="L174" s="5" t="s">
        <v>115</v>
      </c>
      <c r="M174" s="5" t="s">
        <v>113</v>
      </c>
      <c r="N174" s="5" t="s">
        <v>392</v>
      </c>
      <c r="O174" s="5">
        <v>1E-3</v>
      </c>
      <c r="P174" s="91"/>
      <c r="Q174" s="91"/>
      <c r="R174" s="286">
        <v>0</v>
      </c>
      <c r="S174" s="91"/>
      <c r="T174" s="91"/>
      <c r="U174" s="91"/>
      <c r="V174" s="99">
        <f t="shared" si="5"/>
        <v>0</v>
      </c>
      <c r="W174" s="34"/>
      <c r="X174" s="34"/>
      <c r="Y174" s="34"/>
      <c r="Z174" s="34"/>
      <c r="AA174" s="34"/>
      <c r="AB174" s="34"/>
      <c r="AC174" s="34"/>
      <c r="AD174" s="34"/>
      <c r="AE174" s="34"/>
      <c r="AF174" s="34"/>
      <c r="AG174" s="34"/>
      <c r="AH174" s="34"/>
      <c r="AI174" s="34" t="s">
        <v>305</v>
      </c>
      <c r="AJ174" s="34"/>
      <c r="AK174" s="34"/>
      <c r="AL174" s="34"/>
      <c r="AM174" s="34"/>
      <c r="AN174" s="34"/>
      <c r="AO174" s="34"/>
      <c r="AP174" s="34"/>
      <c r="AQ174" s="34"/>
      <c r="AR174" s="34" t="s">
        <v>305</v>
      </c>
      <c r="AS174" s="34"/>
      <c r="AT174" s="34"/>
      <c r="AU174" s="34"/>
      <c r="AV174" s="34"/>
      <c r="AW174" s="34"/>
      <c r="AX174" s="34"/>
      <c r="AY174" s="34"/>
      <c r="AZ174" s="34"/>
      <c r="BA174" s="5" t="s">
        <v>1059</v>
      </c>
    </row>
    <row r="175" spans="1:53" ht="102.75" thickBot="1" x14ac:dyDescent="0.3">
      <c r="A175" s="24" t="s">
        <v>306</v>
      </c>
      <c r="B175" s="24" t="s">
        <v>306</v>
      </c>
      <c r="C175" s="24" t="s">
        <v>306</v>
      </c>
      <c r="D175" s="24" t="s">
        <v>306</v>
      </c>
      <c r="E175" s="24" t="s">
        <v>305</v>
      </c>
      <c r="F175" s="24" t="s">
        <v>306</v>
      </c>
      <c r="G175" s="24" t="s">
        <v>306</v>
      </c>
      <c r="H175" s="24" t="s">
        <v>306</v>
      </c>
      <c r="I175" s="24" t="s">
        <v>306</v>
      </c>
      <c r="J175" s="5" t="s">
        <v>694</v>
      </c>
      <c r="K175" s="5" t="s">
        <v>414</v>
      </c>
      <c r="L175" s="5" t="s">
        <v>112</v>
      </c>
      <c r="M175" s="5" t="s">
        <v>113</v>
      </c>
      <c r="N175" s="5" t="s">
        <v>392</v>
      </c>
      <c r="O175" s="5">
        <v>1E-3</v>
      </c>
      <c r="P175" s="91"/>
      <c r="Q175" s="91"/>
      <c r="R175" s="286">
        <f>R173-(10*2*P145)</f>
        <v>4.8684600000000007</v>
      </c>
      <c r="S175" s="91"/>
      <c r="T175" s="91"/>
      <c r="U175" s="91"/>
      <c r="V175" s="99">
        <f t="shared" si="5"/>
        <v>4.8680000000000003</v>
      </c>
      <c r="W175" s="34"/>
      <c r="X175" s="34"/>
      <c r="Y175" s="34"/>
      <c r="Z175" s="34"/>
      <c r="AA175" s="34"/>
      <c r="AB175" s="34"/>
      <c r="AC175" s="34"/>
      <c r="AD175" s="34"/>
      <c r="AE175" s="34"/>
      <c r="AF175" s="34"/>
      <c r="AG175" s="34"/>
      <c r="AH175" s="34"/>
      <c r="AI175" s="34" t="s">
        <v>305</v>
      </c>
      <c r="AJ175" s="34"/>
      <c r="AK175" s="34"/>
      <c r="AL175" s="34"/>
      <c r="AM175" s="34"/>
      <c r="AN175" s="34"/>
      <c r="AO175" s="34"/>
      <c r="AP175" s="34"/>
      <c r="AQ175" s="34"/>
      <c r="AR175" s="34" t="s">
        <v>305</v>
      </c>
      <c r="AS175" s="34"/>
      <c r="AT175" s="34"/>
      <c r="AU175" s="34"/>
      <c r="AV175" s="34"/>
      <c r="AW175" s="34"/>
      <c r="AX175" s="34"/>
      <c r="AY175" s="34"/>
      <c r="AZ175" s="34"/>
      <c r="BA175" s="5" t="s">
        <v>1060</v>
      </c>
    </row>
    <row r="176" spans="1:53" ht="15.75" thickBot="1" x14ac:dyDescent="0.3">
      <c r="A176" s="24" t="s">
        <v>306</v>
      </c>
      <c r="B176" s="24" t="s">
        <v>306</v>
      </c>
      <c r="C176" s="24" t="s">
        <v>306</v>
      </c>
      <c r="D176" s="24" t="s">
        <v>306</v>
      </c>
      <c r="E176" s="24" t="s">
        <v>305</v>
      </c>
      <c r="F176" s="24" t="s">
        <v>306</v>
      </c>
      <c r="G176" s="24" t="s">
        <v>306</v>
      </c>
      <c r="H176" s="24" t="s">
        <v>306</v>
      </c>
      <c r="I176" s="24" t="s">
        <v>306</v>
      </c>
      <c r="J176" s="5" t="s">
        <v>25</v>
      </c>
      <c r="K176" s="5" t="s">
        <v>415</v>
      </c>
      <c r="L176" s="5" t="s">
        <v>115</v>
      </c>
      <c r="M176" s="5" t="s">
        <v>113</v>
      </c>
      <c r="N176" s="5" t="s">
        <v>392</v>
      </c>
      <c r="O176" s="5">
        <v>1E-3</v>
      </c>
      <c r="P176" s="91"/>
      <c r="Q176" s="91"/>
      <c r="R176" s="286">
        <v>6.4106100000000001</v>
      </c>
      <c r="S176" s="91"/>
      <c r="T176" s="91"/>
      <c r="U176" s="91"/>
      <c r="V176" s="99">
        <f t="shared" si="5"/>
        <v>6.4109999999999996</v>
      </c>
      <c r="W176" s="34"/>
      <c r="X176" s="34"/>
      <c r="Y176" s="34"/>
      <c r="Z176" s="34"/>
      <c r="AA176" s="34"/>
      <c r="AB176" s="34"/>
      <c r="AC176" s="34"/>
      <c r="AD176" s="34"/>
      <c r="AE176" s="34"/>
      <c r="AF176" s="34"/>
      <c r="AG176" s="34"/>
      <c r="AH176" s="34"/>
      <c r="AI176" s="34" t="s">
        <v>305</v>
      </c>
      <c r="AJ176" s="34"/>
      <c r="AK176" s="34"/>
      <c r="AL176" s="34"/>
      <c r="AM176" s="34"/>
      <c r="AN176" s="34"/>
      <c r="AO176" s="34"/>
      <c r="AP176" s="34"/>
      <c r="AQ176" s="34"/>
      <c r="AR176" s="34"/>
      <c r="AS176" s="34"/>
      <c r="AT176" s="34"/>
      <c r="AU176" s="34"/>
      <c r="AV176" s="34"/>
      <c r="AW176" s="34"/>
      <c r="AX176" s="34"/>
      <c r="AY176" s="34"/>
      <c r="AZ176" s="34"/>
      <c r="BA176" s="5"/>
    </row>
    <row r="177" spans="1:53" ht="15.75" thickBot="1" x14ac:dyDescent="0.3">
      <c r="A177" s="24" t="s">
        <v>306</v>
      </c>
      <c r="B177" s="24" t="s">
        <v>306</v>
      </c>
      <c r="C177" s="24" t="s">
        <v>306</v>
      </c>
      <c r="D177" s="24" t="s">
        <v>306</v>
      </c>
      <c r="E177" s="24" t="s">
        <v>305</v>
      </c>
      <c r="F177" s="24" t="s">
        <v>306</v>
      </c>
      <c r="G177" s="24" t="s">
        <v>306</v>
      </c>
      <c r="H177" s="24" t="s">
        <v>306</v>
      </c>
      <c r="I177" s="24" t="s">
        <v>306</v>
      </c>
      <c r="J177" s="5" t="s">
        <v>25</v>
      </c>
      <c r="K177" s="5" t="s">
        <v>415</v>
      </c>
      <c r="L177" s="5" t="s">
        <v>402</v>
      </c>
      <c r="M177" s="5" t="s">
        <v>113</v>
      </c>
      <c r="N177" s="5" t="s">
        <v>392</v>
      </c>
      <c r="O177" s="5">
        <v>1E-3</v>
      </c>
      <c r="P177" s="91"/>
      <c r="Q177" s="91"/>
      <c r="R177" s="286">
        <v>6.4106100000000001</v>
      </c>
      <c r="S177" s="91"/>
      <c r="T177" s="91"/>
      <c r="U177" s="91"/>
      <c r="V177" s="99">
        <f t="shared" si="5"/>
        <v>6.4109999999999996</v>
      </c>
      <c r="W177" s="34"/>
      <c r="X177" s="34"/>
      <c r="Y177" s="34"/>
      <c r="Z177" s="34"/>
      <c r="AA177" s="34"/>
      <c r="AB177" s="34"/>
      <c r="AC177" s="34"/>
      <c r="AD177" s="34"/>
      <c r="AE177" s="34"/>
      <c r="AF177" s="34"/>
      <c r="AG177" s="34"/>
      <c r="AH177" s="34"/>
      <c r="AI177" s="34" t="s">
        <v>305</v>
      </c>
      <c r="AJ177" s="34"/>
      <c r="AK177" s="34"/>
      <c r="AL177" s="34"/>
      <c r="AM177" s="34"/>
      <c r="AN177" s="34"/>
      <c r="AO177" s="34"/>
      <c r="AP177" s="34"/>
      <c r="AQ177" s="34"/>
      <c r="AR177" s="34"/>
      <c r="AS177" s="34"/>
      <c r="AT177" s="34"/>
      <c r="AU177" s="34"/>
      <c r="AV177" s="34"/>
      <c r="AW177" s="34"/>
      <c r="AX177" s="34"/>
      <c r="AY177" s="34"/>
      <c r="AZ177" s="34"/>
      <c r="BA177" s="5"/>
    </row>
    <row r="178" spans="1:53" ht="15.75" thickBot="1" x14ac:dyDescent="0.3">
      <c r="A178" s="24" t="s">
        <v>306</v>
      </c>
      <c r="B178" s="24" t="s">
        <v>306</v>
      </c>
      <c r="C178" s="24" t="s">
        <v>306</v>
      </c>
      <c r="D178" s="24" t="s">
        <v>306</v>
      </c>
      <c r="E178" s="24" t="s">
        <v>305</v>
      </c>
      <c r="F178" s="24" t="s">
        <v>306</v>
      </c>
      <c r="G178" s="24" t="s">
        <v>306</v>
      </c>
      <c r="H178" s="24" t="s">
        <v>306</v>
      </c>
      <c r="I178" s="24" t="s">
        <v>306</v>
      </c>
      <c r="J178" s="5" t="s">
        <v>25</v>
      </c>
      <c r="K178" s="5" t="s">
        <v>415</v>
      </c>
      <c r="L178" s="5" t="s">
        <v>112</v>
      </c>
      <c r="M178" s="5" t="s">
        <v>113</v>
      </c>
      <c r="N178" s="5" t="s">
        <v>392</v>
      </c>
      <c r="O178" s="5">
        <v>1E-3</v>
      </c>
      <c r="P178" s="91"/>
      <c r="Q178" s="91"/>
      <c r="R178" s="286">
        <v>496.68302999999997</v>
      </c>
      <c r="S178" s="91"/>
      <c r="T178" s="91"/>
      <c r="U178" s="91"/>
      <c r="V178" s="99">
        <f t="shared" si="5"/>
        <v>496.68299999999999</v>
      </c>
      <c r="W178" s="34"/>
      <c r="X178" s="34"/>
      <c r="Y178" s="34"/>
      <c r="Z178" s="34"/>
      <c r="AA178" s="34"/>
      <c r="AB178" s="34"/>
      <c r="AC178" s="34"/>
      <c r="AD178" s="34"/>
      <c r="AE178" s="34"/>
      <c r="AF178" s="34"/>
      <c r="AG178" s="34"/>
      <c r="AH178" s="34"/>
      <c r="AI178" s="34" t="s">
        <v>305</v>
      </c>
      <c r="AJ178" s="34"/>
      <c r="AK178" s="34"/>
      <c r="AL178" s="34"/>
      <c r="AM178" s="34"/>
      <c r="AN178" s="34"/>
      <c r="AO178" s="34"/>
      <c r="AP178" s="34"/>
      <c r="AQ178" s="34"/>
      <c r="AR178" s="34"/>
      <c r="AS178" s="34"/>
      <c r="AT178" s="34"/>
      <c r="AU178" s="34"/>
      <c r="AV178" s="34"/>
      <c r="AW178" s="34"/>
      <c r="AX178" s="34"/>
      <c r="AY178" s="34"/>
      <c r="AZ178" s="34"/>
      <c r="BA178" s="5"/>
    </row>
    <row r="179" spans="1:53" ht="51.75" thickBot="1" x14ac:dyDescent="0.3">
      <c r="A179" s="24" t="s">
        <v>306</v>
      </c>
      <c r="B179" s="24" t="s">
        <v>306</v>
      </c>
      <c r="C179" s="24" t="s">
        <v>306</v>
      </c>
      <c r="D179" s="24" t="s">
        <v>306</v>
      </c>
      <c r="E179" s="24" t="s">
        <v>305</v>
      </c>
      <c r="F179" s="24" t="s">
        <v>306</v>
      </c>
      <c r="G179" s="24" t="s">
        <v>306</v>
      </c>
      <c r="H179" s="24" t="s">
        <v>306</v>
      </c>
      <c r="I179" s="24" t="s">
        <v>306</v>
      </c>
      <c r="J179" s="5" t="s">
        <v>694</v>
      </c>
      <c r="K179" s="5" t="s">
        <v>415</v>
      </c>
      <c r="L179" s="5" t="s">
        <v>115</v>
      </c>
      <c r="M179" s="5" t="s">
        <v>113</v>
      </c>
      <c r="N179" s="5" t="s">
        <v>392</v>
      </c>
      <c r="O179" s="5">
        <v>1E-3</v>
      </c>
      <c r="P179" s="91"/>
      <c r="Q179" s="91"/>
      <c r="R179" s="286">
        <v>0</v>
      </c>
      <c r="S179" s="91"/>
      <c r="T179" s="91"/>
      <c r="U179" s="91"/>
      <c r="V179" s="99">
        <f t="shared" si="5"/>
        <v>0</v>
      </c>
      <c r="W179" s="34"/>
      <c r="X179" s="34"/>
      <c r="Y179" s="34"/>
      <c r="Z179" s="34"/>
      <c r="AA179" s="34"/>
      <c r="AB179" s="34"/>
      <c r="AC179" s="34"/>
      <c r="AD179" s="34"/>
      <c r="AE179" s="34"/>
      <c r="AF179" s="34"/>
      <c r="AG179" s="34"/>
      <c r="AH179" s="34"/>
      <c r="AI179" s="34" t="s">
        <v>305</v>
      </c>
      <c r="AJ179" s="34"/>
      <c r="AK179" s="34"/>
      <c r="AL179" s="34"/>
      <c r="AM179" s="34"/>
      <c r="AN179" s="34"/>
      <c r="AO179" s="34"/>
      <c r="AP179" s="34"/>
      <c r="AQ179" s="34"/>
      <c r="AR179" s="34" t="s">
        <v>305</v>
      </c>
      <c r="AS179" s="34"/>
      <c r="AT179" s="34"/>
      <c r="AU179" s="34"/>
      <c r="AV179" s="34"/>
      <c r="AW179" s="34"/>
      <c r="AX179" s="34"/>
      <c r="AY179" s="34"/>
      <c r="AZ179" s="34"/>
      <c r="BA179" s="5" t="s">
        <v>1059</v>
      </c>
    </row>
    <row r="180" spans="1:53" ht="51.75" thickBot="1" x14ac:dyDescent="0.3">
      <c r="A180" s="24" t="s">
        <v>306</v>
      </c>
      <c r="B180" s="24" t="s">
        <v>306</v>
      </c>
      <c r="C180" s="24" t="s">
        <v>306</v>
      </c>
      <c r="D180" s="24" t="s">
        <v>306</v>
      </c>
      <c r="E180" s="24" t="s">
        <v>305</v>
      </c>
      <c r="F180" s="24" t="s">
        <v>306</v>
      </c>
      <c r="G180" s="24" t="s">
        <v>306</v>
      </c>
      <c r="H180" s="24" t="s">
        <v>306</v>
      </c>
      <c r="I180" s="24" t="s">
        <v>306</v>
      </c>
      <c r="J180" s="5" t="s">
        <v>694</v>
      </c>
      <c r="K180" s="5" t="s">
        <v>415</v>
      </c>
      <c r="L180" s="5" t="s">
        <v>402</v>
      </c>
      <c r="M180" s="5" t="s">
        <v>113</v>
      </c>
      <c r="N180" s="5" t="s">
        <v>392</v>
      </c>
      <c r="O180" s="5">
        <v>1E-3</v>
      </c>
      <c r="P180" s="91"/>
      <c r="Q180" s="91"/>
      <c r="R180" s="286">
        <v>0</v>
      </c>
      <c r="S180" s="91"/>
      <c r="T180" s="91"/>
      <c r="U180" s="91"/>
      <c r="V180" s="99">
        <f t="shared" si="5"/>
        <v>0</v>
      </c>
      <c r="W180" s="34"/>
      <c r="X180" s="34"/>
      <c r="Y180" s="34"/>
      <c r="Z180" s="34"/>
      <c r="AA180" s="34"/>
      <c r="AB180" s="34"/>
      <c r="AC180" s="34"/>
      <c r="AD180" s="34"/>
      <c r="AE180" s="34"/>
      <c r="AF180" s="34"/>
      <c r="AG180" s="34"/>
      <c r="AH180" s="34"/>
      <c r="AI180" s="34" t="s">
        <v>305</v>
      </c>
      <c r="AJ180" s="34"/>
      <c r="AK180" s="34"/>
      <c r="AL180" s="34"/>
      <c r="AM180" s="34"/>
      <c r="AN180" s="34"/>
      <c r="AO180" s="34"/>
      <c r="AP180" s="34"/>
      <c r="AQ180" s="34"/>
      <c r="AR180" s="34" t="s">
        <v>305</v>
      </c>
      <c r="AS180" s="34"/>
      <c r="AT180" s="34"/>
      <c r="AU180" s="34"/>
      <c r="AV180" s="34"/>
      <c r="AW180" s="34"/>
      <c r="AX180" s="34"/>
      <c r="AY180" s="34"/>
      <c r="AZ180" s="34"/>
      <c r="BA180" s="5" t="s">
        <v>1059</v>
      </c>
    </row>
    <row r="181" spans="1:53" ht="102.75" thickBot="1" x14ac:dyDescent="0.3">
      <c r="A181" s="24" t="s">
        <v>306</v>
      </c>
      <c r="B181" s="24" t="s">
        <v>306</v>
      </c>
      <c r="C181" s="24" t="s">
        <v>306</v>
      </c>
      <c r="D181" s="24" t="s">
        <v>306</v>
      </c>
      <c r="E181" s="24" t="s">
        <v>305</v>
      </c>
      <c r="F181" s="24" t="s">
        <v>306</v>
      </c>
      <c r="G181" s="24" t="s">
        <v>306</v>
      </c>
      <c r="H181" s="24" t="s">
        <v>306</v>
      </c>
      <c r="I181" s="24" t="s">
        <v>306</v>
      </c>
      <c r="J181" s="5" t="s">
        <v>694</v>
      </c>
      <c r="K181" s="5" t="s">
        <v>415</v>
      </c>
      <c r="L181" s="5" t="s">
        <v>112</v>
      </c>
      <c r="M181" s="5" t="s">
        <v>113</v>
      </c>
      <c r="N181" s="5" t="s">
        <v>392</v>
      </c>
      <c r="O181" s="5">
        <v>1E-3</v>
      </c>
      <c r="P181" s="91"/>
      <c r="Q181" s="91"/>
      <c r="R181" s="286">
        <f>R178-(10*2*P145)</f>
        <v>492.66762999999997</v>
      </c>
      <c r="S181" s="91"/>
      <c r="T181" s="91"/>
      <c r="U181" s="91"/>
      <c r="V181" s="99">
        <f t="shared" si="5"/>
        <v>492.66800000000001</v>
      </c>
      <c r="W181" s="34"/>
      <c r="X181" s="34"/>
      <c r="Y181" s="34"/>
      <c r="Z181" s="34"/>
      <c r="AA181" s="34"/>
      <c r="AB181" s="34"/>
      <c r="AC181" s="34"/>
      <c r="AD181" s="34"/>
      <c r="AE181" s="34"/>
      <c r="AF181" s="34"/>
      <c r="AG181" s="34"/>
      <c r="AH181" s="34"/>
      <c r="AI181" s="34" t="s">
        <v>305</v>
      </c>
      <c r="AJ181" s="34"/>
      <c r="AK181" s="34"/>
      <c r="AL181" s="34"/>
      <c r="AM181" s="34"/>
      <c r="AN181" s="34"/>
      <c r="AO181" s="34"/>
      <c r="AP181" s="34"/>
      <c r="AQ181" s="34"/>
      <c r="AR181" s="34" t="s">
        <v>305</v>
      </c>
      <c r="AS181" s="34"/>
      <c r="AT181" s="34"/>
      <c r="AU181" s="34"/>
      <c r="AV181" s="34"/>
      <c r="AW181" s="34"/>
      <c r="AX181" s="34"/>
      <c r="AY181" s="34"/>
      <c r="AZ181" s="34"/>
      <c r="BA181" s="5" t="s">
        <v>1060</v>
      </c>
    </row>
    <row r="182" spans="1:53" ht="15.75" thickBot="1" x14ac:dyDescent="0.3">
      <c r="A182" s="24" t="s">
        <v>306</v>
      </c>
      <c r="B182" s="24" t="s">
        <v>306</v>
      </c>
      <c r="C182" s="24" t="s">
        <v>306</v>
      </c>
      <c r="D182" s="24" t="s">
        <v>306</v>
      </c>
      <c r="E182" s="24" t="s">
        <v>305</v>
      </c>
      <c r="F182" s="24" t="s">
        <v>306</v>
      </c>
      <c r="G182" s="24" t="s">
        <v>306</v>
      </c>
      <c r="H182" s="24" t="s">
        <v>306</v>
      </c>
      <c r="I182" s="24" t="s">
        <v>306</v>
      </c>
      <c r="J182" s="5" t="s">
        <v>25</v>
      </c>
      <c r="K182" s="5" t="s">
        <v>416</v>
      </c>
      <c r="L182" s="5" t="s">
        <v>402</v>
      </c>
      <c r="M182" s="5" t="s">
        <v>113</v>
      </c>
      <c r="N182" s="5" t="s">
        <v>392</v>
      </c>
      <c r="O182" s="5">
        <v>1E-3</v>
      </c>
      <c r="P182" s="91"/>
      <c r="Q182" s="91"/>
      <c r="R182" s="286">
        <v>6.4106100000000001</v>
      </c>
      <c r="S182" s="91"/>
      <c r="T182" s="91"/>
      <c r="U182" s="91"/>
      <c r="V182" s="99">
        <f t="shared" si="5"/>
        <v>6.4109999999999996</v>
      </c>
      <c r="W182" s="34"/>
      <c r="X182" s="34"/>
      <c r="Y182" s="34"/>
      <c r="Z182" s="34"/>
      <c r="AA182" s="34"/>
      <c r="AB182" s="34"/>
      <c r="AC182" s="34"/>
      <c r="AD182" s="34"/>
      <c r="AE182" s="34"/>
      <c r="AF182" s="34"/>
      <c r="AG182" s="34"/>
      <c r="AH182" s="34"/>
      <c r="AI182" s="34" t="s">
        <v>305</v>
      </c>
      <c r="AJ182" s="34"/>
      <c r="AK182" s="34"/>
      <c r="AL182" s="34"/>
      <c r="AM182" s="34"/>
      <c r="AN182" s="34"/>
      <c r="AO182" s="34"/>
      <c r="AP182" s="34"/>
      <c r="AQ182" s="34"/>
      <c r="AR182" s="34"/>
      <c r="AS182" s="34"/>
      <c r="AT182" s="34"/>
      <c r="AU182" s="34"/>
      <c r="AV182" s="34"/>
      <c r="AW182" s="34"/>
      <c r="AX182" s="34"/>
      <c r="AY182" s="34"/>
      <c r="AZ182" s="34"/>
      <c r="BA182" s="5"/>
    </row>
    <row r="183" spans="1:53" ht="15.75" thickBot="1" x14ac:dyDescent="0.3">
      <c r="A183" s="24" t="s">
        <v>306</v>
      </c>
      <c r="B183" s="24" t="s">
        <v>306</v>
      </c>
      <c r="C183" s="24" t="s">
        <v>306</v>
      </c>
      <c r="D183" s="24" t="s">
        <v>306</v>
      </c>
      <c r="E183" s="24" t="s">
        <v>305</v>
      </c>
      <c r="F183" s="24" t="s">
        <v>306</v>
      </c>
      <c r="G183" s="24" t="s">
        <v>306</v>
      </c>
      <c r="H183" s="24" t="s">
        <v>306</v>
      </c>
      <c r="I183" s="24" t="s">
        <v>306</v>
      </c>
      <c r="J183" s="5" t="s">
        <v>25</v>
      </c>
      <c r="K183" s="5" t="s">
        <v>416</v>
      </c>
      <c r="L183" s="5" t="s">
        <v>406</v>
      </c>
      <c r="M183" s="5" t="s">
        <v>113</v>
      </c>
      <c r="N183" s="5" t="s">
        <v>392</v>
      </c>
      <c r="O183" s="5">
        <v>1E-3</v>
      </c>
      <c r="P183" s="91"/>
      <c r="Q183" s="91"/>
      <c r="R183" s="286">
        <v>8.8838600000000003</v>
      </c>
      <c r="S183" s="91"/>
      <c r="T183" s="91"/>
      <c r="U183" s="91"/>
      <c r="V183" s="99">
        <f t="shared" si="5"/>
        <v>8.8840000000000003</v>
      </c>
      <c r="W183" s="34"/>
      <c r="X183" s="34"/>
      <c r="Y183" s="34"/>
      <c r="Z183" s="34"/>
      <c r="AA183" s="34"/>
      <c r="AB183" s="34"/>
      <c r="AC183" s="34"/>
      <c r="AD183" s="34"/>
      <c r="AE183" s="34"/>
      <c r="AF183" s="34"/>
      <c r="AG183" s="34"/>
      <c r="AH183" s="34"/>
      <c r="AI183" s="34" t="s">
        <v>305</v>
      </c>
      <c r="AJ183" s="34"/>
      <c r="AK183" s="34"/>
      <c r="AL183" s="34"/>
      <c r="AM183" s="34"/>
      <c r="AN183" s="34"/>
      <c r="AO183" s="34"/>
      <c r="AP183" s="34"/>
      <c r="AQ183" s="34"/>
      <c r="AR183" s="34"/>
      <c r="AS183" s="34"/>
      <c r="AT183" s="34"/>
      <c r="AU183" s="34"/>
      <c r="AV183" s="34"/>
      <c r="AW183" s="34"/>
      <c r="AX183" s="34"/>
      <c r="AY183" s="34"/>
      <c r="AZ183" s="34"/>
      <c r="BA183" s="5"/>
    </row>
    <row r="184" spans="1:53" ht="15.75" thickBot="1" x14ac:dyDescent="0.3">
      <c r="A184" s="24" t="s">
        <v>306</v>
      </c>
      <c r="B184" s="24" t="s">
        <v>306</v>
      </c>
      <c r="C184" s="24" t="s">
        <v>306</v>
      </c>
      <c r="D184" s="24" t="s">
        <v>306</v>
      </c>
      <c r="E184" s="24" t="s">
        <v>305</v>
      </c>
      <c r="F184" s="24" t="s">
        <v>306</v>
      </c>
      <c r="G184" s="24" t="s">
        <v>306</v>
      </c>
      <c r="H184" s="24" t="s">
        <v>306</v>
      </c>
      <c r="I184" s="24" t="s">
        <v>306</v>
      </c>
      <c r="J184" s="5" t="s">
        <v>25</v>
      </c>
      <c r="K184" s="5" t="s">
        <v>416</v>
      </c>
      <c r="L184" s="5" t="s">
        <v>112</v>
      </c>
      <c r="M184" s="5" t="s">
        <v>113</v>
      </c>
      <c r="N184" s="5" t="s">
        <v>392</v>
      </c>
      <c r="O184" s="5">
        <v>1E-3</v>
      </c>
      <c r="P184" s="91"/>
      <c r="Q184" s="91"/>
      <c r="R184" s="286">
        <v>700.20961</v>
      </c>
      <c r="S184" s="91"/>
      <c r="T184" s="91"/>
      <c r="U184" s="91"/>
      <c r="V184" s="99">
        <f t="shared" si="5"/>
        <v>700.21</v>
      </c>
      <c r="W184" s="34"/>
      <c r="X184" s="34"/>
      <c r="Y184" s="34"/>
      <c r="Z184" s="34"/>
      <c r="AA184" s="34"/>
      <c r="AB184" s="34"/>
      <c r="AC184" s="34"/>
      <c r="AD184" s="34"/>
      <c r="AE184" s="34"/>
      <c r="AF184" s="34"/>
      <c r="AG184" s="34"/>
      <c r="AH184" s="34"/>
      <c r="AI184" s="34" t="s">
        <v>305</v>
      </c>
      <c r="AJ184" s="34"/>
      <c r="AK184" s="34"/>
      <c r="AL184" s="34"/>
      <c r="AM184" s="34"/>
      <c r="AN184" s="34"/>
      <c r="AO184" s="34"/>
      <c r="AP184" s="34"/>
      <c r="AQ184" s="34"/>
      <c r="AR184" s="34"/>
      <c r="AS184" s="34"/>
      <c r="AT184" s="34"/>
      <c r="AU184" s="34"/>
      <c r="AV184" s="34"/>
      <c r="AW184" s="34"/>
      <c r="AX184" s="34"/>
      <c r="AY184" s="34"/>
      <c r="AZ184" s="34"/>
      <c r="BA184" s="5"/>
    </row>
    <row r="185" spans="1:53" ht="26.25" thickBot="1" x14ac:dyDescent="0.3">
      <c r="A185" s="24" t="s">
        <v>306</v>
      </c>
      <c r="B185" s="24" t="s">
        <v>306</v>
      </c>
      <c r="C185" s="24" t="s">
        <v>306</v>
      </c>
      <c r="D185" s="24" t="s">
        <v>306</v>
      </c>
      <c r="E185" s="24" t="s">
        <v>305</v>
      </c>
      <c r="F185" s="24" t="s">
        <v>306</v>
      </c>
      <c r="G185" s="24" t="s">
        <v>306</v>
      </c>
      <c r="H185" s="24" t="s">
        <v>306</v>
      </c>
      <c r="I185" s="24" t="s">
        <v>306</v>
      </c>
      <c r="J185" s="5" t="s">
        <v>25</v>
      </c>
      <c r="K185" s="5" t="s">
        <v>416</v>
      </c>
      <c r="L185" s="5" t="s">
        <v>407</v>
      </c>
      <c r="M185" s="5" t="s">
        <v>113</v>
      </c>
      <c r="N185" s="5" t="s">
        <v>392</v>
      </c>
      <c r="O185" s="5">
        <v>1E-3</v>
      </c>
      <c r="P185" s="91"/>
      <c r="Q185" s="91"/>
      <c r="R185" s="286">
        <v>8.8838600000000003</v>
      </c>
      <c r="S185" s="91"/>
      <c r="T185" s="91"/>
      <c r="U185" s="91"/>
      <c r="V185" s="99">
        <f t="shared" si="5"/>
        <v>8.8840000000000003</v>
      </c>
      <c r="W185" s="34"/>
      <c r="X185" s="34"/>
      <c r="Y185" s="34"/>
      <c r="Z185" s="34"/>
      <c r="AA185" s="34"/>
      <c r="AB185" s="34"/>
      <c r="AC185" s="34"/>
      <c r="AD185" s="34"/>
      <c r="AE185" s="34"/>
      <c r="AF185" s="34"/>
      <c r="AG185" s="34"/>
      <c r="AH185" s="34"/>
      <c r="AI185" s="34" t="s">
        <v>305</v>
      </c>
      <c r="AJ185" s="34"/>
      <c r="AK185" s="34"/>
      <c r="AL185" s="34"/>
      <c r="AM185" s="34"/>
      <c r="AN185" s="34"/>
      <c r="AO185" s="34"/>
      <c r="AP185" s="34"/>
      <c r="AQ185" s="34"/>
      <c r="AR185" s="34"/>
      <c r="AS185" s="34"/>
      <c r="AT185" s="34"/>
      <c r="AU185" s="34"/>
      <c r="AV185" s="34"/>
      <c r="AW185" s="34"/>
      <c r="AX185" s="34"/>
      <c r="AY185" s="34"/>
      <c r="AZ185" s="34"/>
      <c r="BA185" s="5"/>
    </row>
    <row r="186" spans="1:53" ht="51.75" thickBot="1" x14ac:dyDescent="0.3">
      <c r="A186" s="24" t="s">
        <v>306</v>
      </c>
      <c r="B186" s="24" t="s">
        <v>306</v>
      </c>
      <c r="C186" s="24" t="s">
        <v>306</v>
      </c>
      <c r="D186" s="24" t="s">
        <v>306</v>
      </c>
      <c r="E186" s="24" t="s">
        <v>305</v>
      </c>
      <c r="F186" s="24" t="s">
        <v>306</v>
      </c>
      <c r="G186" s="24" t="s">
        <v>306</v>
      </c>
      <c r="H186" s="24" t="s">
        <v>306</v>
      </c>
      <c r="I186" s="24" t="s">
        <v>306</v>
      </c>
      <c r="J186" s="5" t="s">
        <v>694</v>
      </c>
      <c r="K186" s="5" t="s">
        <v>416</v>
      </c>
      <c r="L186" s="5" t="s">
        <v>402</v>
      </c>
      <c r="M186" s="5" t="s">
        <v>113</v>
      </c>
      <c r="N186" s="5" t="s">
        <v>392</v>
      </c>
      <c r="O186" s="5">
        <v>1E-3</v>
      </c>
      <c r="P186" s="91"/>
      <c r="Q186" s="91"/>
      <c r="R186" s="286">
        <v>0</v>
      </c>
      <c r="S186" s="91"/>
      <c r="T186" s="91"/>
      <c r="U186" s="91"/>
      <c r="V186" s="99">
        <f t="shared" si="5"/>
        <v>0</v>
      </c>
      <c r="W186" s="34"/>
      <c r="X186" s="34"/>
      <c r="Y186" s="34"/>
      <c r="Z186" s="34"/>
      <c r="AA186" s="34"/>
      <c r="AB186" s="34"/>
      <c r="AC186" s="34"/>
      <c r="AD186" s="34"/>
      <c r="AE186" s="34"/>
      <c r="AF186" s="34"/>
      <c r="AG186" s="34"/>
      <c r="AH186" s="34"/>
      <c r="AI186" s="34" t="s">
        <v>305</v>
      </c>
      <c r="AJ186" s="34"/>
      <c r="AK186" s="34"/>
      <c r="AL186" s="34"/>
      <c r="AM186" s="34"/>
      <c r="AN186" s="34"/>
      <c r="AO186" s="34"/>
      <c r="AP186" s="34"/>
      <c r="AQ186" s="34"/>
      <c r="AR186" s="34" t="s">
        <v>305</v>
      </c>
      <c r="AS186" s="34"/>
      <c r="AT186" s="34"/>
      <c r="AU186" s="34"/>
      <c r="AV186" s="34"/>
      <c r="AW186" s="34"/>
      <c r="AX186" s="34"/>
      <c r="AY186" s="34"/>
      <c r="AZ186" s="34"/>
      <c r="BA186" s="5" t="s">
        <v>1059</v>
      </c>
    </row>
    <row r="187" spans="1:53" ht="51.75" thickBot="1" x14ac:dyDescent="0.3">
      <c r="A187" s="24" t="s">
        <v>306</v>
      </c>
      <c r="B187" s="24" t="s">
        <v>306</v>
      </c>
      <c r="C187" s="24" t="s">
        <v>306</v>
      </c>
      <c r="D187" s="24" t="s">
        <v>306</v>
      </c>
      <c r="E187" s="24" t="s">
        <v>305</v>
      </c>
      <c r="F187" s="24" t="s">
        <v>306</v>
      </c>
      <c r="G187" s="24" t="s">
        <v>306</v>
      </c>
      <c r="H187" s="24" t="s">
        <v>306</v>
      </c>
      <c r="I187" s="24" t="s">
        <v>306</v>
      </c>
      <c r="J187" s="5" t="s">
        <v>694</v>
      </c>
      <c r="K187" s="5" t="s">
        <v>416</v>
      </c>
      <c r="L187" s="5" t="s">
        <v>406</v>
      </c>
      <c r="M187" s="5" t="s">
        <v>113</v>
      </c>
      <c r="N187" s="5" t="s">
        <v>392</v>
      </c>
      <c r="O187" s="5">
        <v>1E-3</v>
      </c>
      <c r="P187" s="91"/>
      <c r="Q187" s="91"/>
      <c r="R187" s="286">
        <v>0</v>
      </c>
      <c r="S187" s="91"/>
      <c r="T187" s="91"/>
      <c r="U187" s="91"/>
      <c r="V187" s="99">
        <f t="shared" si="5"/>
        <v>0</v>
      </c>
      <c r="W187" s="34"/>
      <c r="X187" s="34"/>
      <c r="Y187" s="34"/>
      <c r="Z187" s="34"/>
      <c r="AA187" s="34"/>
      <c r="AB187" s="34"/>
      <c r="AC187" s="34"/>
      <c r="AD187" s="34"/>
      <c r="AE187" s="34"/>
      <c r="AF187" s="34"/>
      <c r="AG187" s="34"/>
      <c r="AH187" s="34"/>
      <c r="AI187" s="34" t="s">
        <v>305</v>
      </c>
      <c r="AJ187" s="34"/>
      <c r="AK187" s="34"/>
      <c r="AL187" s="34"/>
      <c r="AM187" s="34"/>
      <c r="AN187" s="34"/>
      <c r="AO187" s="34"/>
      <c r="AP187" s="34"/>
      <c r="AQ187" s="34"/>
      <c r="AR187" s="34" t="s">
        <v>305</v>
      </c>
      <c r="AS187" s="34"/>
      <c r="AT187" s="34"/>
      <c r="AU187" s="34"/>
      <c r="AV187" s="34"/>
      <c r="AW187" s="34"/>
      <c r="AX187" s="34"/>
      <c r="AY187" s="34"/>
      <c r="AZ187" s="34"/>
      <c r="BA187" s="5" t="s">
        <v>1059</v>
      </c>
    </row>
    <row r="188" spans="1:53" ht="102.75" thickBot="1" x14ac:dyDescent="0.3">
      <c r="A188" s="24" t="s">
        <v>306</v>
      </c>
      <c r="B188" s="24" t="s">
        <v>306</v>
      </c>
      <c r="C188" s="24" t="s">
        <v>306</v>
      </c>
      <c r="D188" s="24" t="s">
        <v>306</v>
      </c>
      <c r="E188" s="24" t="s">
        <v>305</v>
      </c>
      <c r="F188" s="24" t="s">
        <v>306</v>
      </c>
      <c r="G188" s="24" t="s">
        <v>306</v>
      </c>
      <c r="H188" s="24" t="s">
        <v>306</v>
      </c>
      <c r="I188" s="24" t="s">
        <v>306</v>
      </c>
      <c r="J188" s="5" t="s">
        <v>694</v>
      </c>
      <c r="K188" s="5" t="s">
        <v>416</v>
      </c>
      <c r="L188" s="5" t="s">
        <v>112</v>
      </c>
      <c r="M188" s="5" t="s">
        <v>113</v>
      </c>
      <c r="N188" s="5" t="s">
        <v>392</v>
      </c>
      <c r="O188" s="5">
        <v>1E-3</v>
      </c>
      <c r="P188" s="91"/>
      <c r="Q188" s="91"/>
      <c r="R188" s="286">
        <f>R184-(10*2*P145)</f>
        <v>696.19421</v>
      </c>
      <c r="S188" s="91"/>
      <c r="T188" s="91"/>
      <c r="U188" s="91"/>
      <c r="V188" s="99">
        <f t="shared" si="5"/>
        <v>696.19399999999996</v>
      </c>
      <c r="W188" s="34"/>
      <c r="X188" s="34"/>
      <c r="Y188" s="34"/>
      <c r="Z188" s="34"/>
      <c r="AA188" s="34"/>
      <c r="AB188" s="34"/>
      <c r="AC188" s="34"/>
      <c r="AD188" s="34"/>
      <c r="AE188" s="34"/>
      <c r="AF188" s="34"/>
      <c r="AG188" s="34"/>
      <c r="AH188" s="34"/>
      <c r="AI188" s="34" t="s">
        <v>305</v>
      </c>
      <c r="AJ188" s="34"/>
      <c r="AK188" s="34"/>
      <c r="AL188" s="34"/>
      <c r="AM188" s="34"/>
      <c r="AN188" s="34"/>
      <c r="AO188" s="34"/>
      <c r="AP188" s="34"/>
      <c r="AQ188" s="34"/>
      <c r="AR188" s="34" t="s">
        <v>305</v>
      </c>
      <c r="AS188" s="34"/>
      <c r="AT188" s="34"/>
      <c r="AU188" s="34"/>
      <c r="AV188" s="34"/>
      <c r="AW188" s="34"/>
      <c r="AX188" s="34"/>
      <c r="AY188" s="34"/>
      <c r="AZ188" s="34"/>
      <c r="BA188" s="5" t="s">
        <v>1060</v>
      </c>
    </row>
    <row r="189" spans="1:53" ht="51.75" thickBot="1" x14ac:dyDescent="0.3">
      <c r="A189" s="24" t="s">
        <v>306</v>
      </c>
      <c r="B189" s="24" t="s">
        <v>306</v>
      </c>
      <c r="C189" s="24" t="s">
        <v>306</v>
      </c>
      <c r="D189" s="24" t="s">
        <v>306</v>
      </c>
      <c r="E189" s="24" t="s">
        <v>305</v>
      </c>
      <c r="F189" s="24" t="s">
        <v>306</v>
      </c>
      <c r="G189" s="24" t="s">
        <v>306</v>
      </c>
      <c r="H189" s="24" t="s">
        <v>306</v>
      </c>
      <c r="I189" s="24" t="s">
        <v>306</v>
      </c>
      <c r="J189" s="5" t="s">
        <v>694</v>
      </c>
      <c r="K189" s="5" t="s">
        <v>416</v>
      </c>
      <c r="L189" s="5" t="s">
        <v>407</v>
      </c>
      <c r="M189" s="5" t="s">
        <v>113</v>
      </c>
      <c r="N189" s="5" t="s">
        <v>392</v>
      </c>
      <c r="O189" s="5">
        <v>1E-3</v>
      </c>
      <c r="P189" s="91"/>
      <c r="Q189" s="91"/>
      <c r="R189" s="286">
        <v>0</v>
      </c>
      <c r="S189" s="91"/>
      <c r="T189" s="91"/>
      <c r="U189" s="91"/>
      <c r="V189" s="99">
        <f t="shared" si="5"/>
        <v>0</v>
      </c>
      <c r="W189" s="34"/>
      <c r="X189" s="34"/>
      <c r="Y189" s="34"/>
      <c r="Z189" s="34"/>
      <c r="AA189" s="34"/>
      <c r="AB189" s="34"/>
      <c r="AC189" s="34"/>
      <c r="AD189" s="34"/>
      <c r="AE189" s="34"/>
      <c r="AF189" s="34"/>
      <c r="AG189" s="34"/>
      <c r="AH189" s="34"/>
      <c r="AI189" s="34" t="s">
        <v>305</v>
      </c>
      <c r="AJ189" s="34"/>
      <c r="AK189" s="34"/>
      <c r="AL189" s="34"/>
      <c r="AM189" s="34"/>
      <c r="AN189" s="34"/>
      <c r="AO189" s="34"/>
      <c r="AP189" s="34"/>
      <c r="AQ189" s="34"/>
      <c r="AR189" s="34" t="s">
        <v>305</v>
      </c>
      <c r="AS189" s="34"/>
      <c r="AT189" s="34"/>
      <c r="AU189" s="34"/>
      <c r="AV189" s="34"/>
      <c r="AW189" s="34"/>
      <c r="AX189" s="34"/>
      <c r="AY189" s="34"/>
      <c r="AZ189" s="34"/>
      <c r="BA189" s="5" t="s">
        <v>1059</v>
      </c>
    </row>
    <row r="190" spans="1:53" ht="15.75" thickBot="1" x14ac:dyDescent="0.3">
      <c r="A190" s="24" t="s">
        <v>306</v>
      </c>
      <c r="B190" s="24" t="s">
        <v>306</v>
      </c>
      <c r="C190" s="24" t="s">
        <v>306</v>
      </c>
      <c r="D190" s="24" t="s">
        <v>306</v>
      </c>
      <c r="E190" s="24" t="s">
        <v>305</v>
      </c>
      <c r="F190" s="24" t="s">
        <v>306</v>
      </c>
      <c r="G190" s="24" t="s">
        <v>306</v>
      </c>
      <c r="H190" s="24" t="s">
        <v>306</v>
      </c>
      <c r="I190" s="24" t="s">
        <v>306</v>
      </c>
      <c r="J190" s="5" t="s">
        <v>25</v>
      </c>
      <c r="K190" s="5" t="s">
        <v>417</v>
      </c>
      <c r="L190" s="5" t="s">
        <v>402</v>
      </c>
      <c r="M190" s="5" t="s">
        <v>113</v>
      </c>
      <c r="N190" s="5" t="s">
        <v>392</v>
      </c>
      <c r="O190" s="5">
        <v>1E-3</v>
      </c>
      <c r="P190" s="91"/>
      <c r="Q190" s="91"/>
      <c r="R190" s="286">
        <v>6.4106100000000001</v>
      </c>
      <c r="S190" s="91"/>
      <c r="T190" s="91"/>
      <c r="U190" s="91"/>
      <c r="V190" s="99">
        <f t="shared" si="5"/>
        <v>6.4109999999999996</v>
      </c>
      <c r="W190" s="34"/>
      <c r="X190" s="34"/>
      <c r="Y190" s="34"/>
      <c r="Z190" s="34"/>
      <c r="AA190" s="34"/>
      <c r="AB190" s="34"/>
      <c r="AC190" s="34"/>
      <c r="AD190" s="34"/>
      <c r="AE190" s="34"/>
      <c r="AF190" s="34"/>
      <c r="AG190" s="34"/>
      <c r="AH190" s="34"/>
      <c r="AI190" s="34" t="s">
        <v>305</v>
      </c>
      <c r="AJ190" s="34"/>
      <c r="AK190" s="34"/>
      <c r="AL190" s="34"/>
      <c r="AM190" s="34"/>
      <c r="AN190" s="34"/>
      <c r="AO190" s="34"/>
      <c r="AP190" s="34"/>
      <c r="AQ190" s="34"/>
      <c r="AR190" s="34"/>
      <c r="AS190" s="34"/>
      <c r="AT190" s="34"/>
      <c r="AU190" s="34"/>
      <c r="AV190" s="34"/>
      <c r="AW190" s="34"/>
      <c r="AX190" s="34"/>
      <c r="AY190" s="34"/>
      <c r="AZ190" s="34"/>
      <c r="BA190" s="5"/>
    </row>
    <row r="191" spans="1:53" ht="15.75" thickBot="1" x14ac:dyDescent="0.3">
      <c r="A191" s="24" t="s">
        <v>306</v>
      </c>
      <c r="B191" s="24" t="s">
        <v>306</v>
      </c>
      <c r="C191" s="24" t="s">
        <v>306</v>
      </c>
      <c r="D191" s="24" t="s">
        <v>306</v>
      </c>
      <c r="E191" s="24" t="s">
        <v>305</v>
      </c>
      <c r="F191" s="24" t="s">
        <v>306</v>
      </c>
      <c r="G191" s="24" t="s">
        <v>306</v>
      </c>
      <c r="H191" s="24" t="s">
        <v>306</v>
      </c>
      <c r="I191" s="24" t="s">
        <v>306</v>
      </c>
      <c r="J191" s="5" t="s">
        <v>25</v>
      </c>
      <c r="K191" s="5" t="s">
        <v>417</v>
      </c>
      <c r="L191" s="5" t="s">
        <v>406</v>
      </c>
      <c r="M191" s="5" t="s">
        <v>113</v>
      </c>
      <c r="N191" s="5" t="s">
        <v>392</v>
      </c>
      <c r="O191" s="5">
        <v>1E-3</v>
      </c>
      <c r="P191" s="91"/>
      <c r="Q191" s="91"/>
      <c r="R191" s="286">
        <v>8.8838600000000003</v>
      </c>
      <c r="S191" s="91"/>
      <c r="T191" s="91"/>
      <c r="U191" s="91"/>
      <c r="V191" s="99">
        <f t="shared" si="5"/>
        <v>8.8840000000000003</v>
      </c>
      <c r="W191" s="34"/>
      <c r="X191" s="34"/>
      <c r="Y191" s="34"/>
      <c r="Z191" s="34"/>
      <c r="AA191" s="34"/>
      <c r="AB191" s="34"/>
      <c r="AC191" s="34"/>
      <c r="AD191" s="34"/>
      <c r="AE191" s="34"/>
      <c r="AF191" s="34"/>
      <c r="AG191" s="34"/>
      <c r="AH191" s="34"/>
      <c r="AI191" s="34" t="s">
        <v>305</v>
      </c>
      <c r="AJ191" s="34"/>
      <c r="AK191" s="34"/>
      <c r="AL191" s="34"/>
      <c r="AM191" s="34"/>
      <c r="AN191" s="34"/>
      <c r="AO191" s="34"/>
      <c r="AP191" s="34"/>
      <c r="AQ191" s="34"/>
      <c r="AR191" s="34"/>
      <c r="AS191" s="34"/>
      <c r="AT191" s="34"/>
      <c r="AU191" s="34"/>
      <c r="AV191" s="34"/>
      <c r="AW191" s="34"/>
      <c r="AX191" s="34"/>
      <c r="AY191" s="34"/>
      <c r="AZ191" s="34"/>
      <c r="BA191" s="5"/>
    </row>
    <row r="192" spans="1:53" ht="15.75" thickBot="1" x14ac:dyDescent="0.3">
      <c r="A192" s="24" t="s">
        <v>306</v>
      </c>
      <c r="B192" s="24" t="s">
        <v>306</v>
      </c>
      <c r="C192" s="24" t="s">
        <v>306</v>
      </c>
      <c r="D192" s="24" t="s">
        <v>306</v>
      </c>
      <c r="E192" s="24" t="s">
        <v>305</v>
      </c>
      <c r="F192" s="24" t="s">
        <v>306</v>
      </c>
      <c r="G192" s="24" t="s">
        <v>306</v>
      </c>
      <c r="H192" s="24" t="s">
        <v>306</v>
      </c>
      <c r="I192" s="24" t="s">
        <v>306</v>
      </c>
      <c r="J192" s="5" t="s">
        <v>25</v>
      </c>
      <c r="K192" s="5" t="s">
        <v>417</v>
      </c>
      <c r="L192" s="5" t="s">
        <v>112</v>
      </c>
      <c r="M192" s="5" t="s">
        <v>113</v>
      </c>
      <c r="N192" s="5" t="s">
        <v>392</v>
      </c>
      <c r="O192" s="5">
        <v>1E-3</v>
      </c>
      <c r="P192" s="91"/>
      <c r="Q192" s="91"/>
      <c r="R192" s="286">
        <v>646.60631999999998</v>
      </c>
      <c r="S192" s="91"/>
      <c r="T192" s="91"/>
      <c r="U192" s="91"/>
      <c r="V192" s="99">
        <f t="shared" si="5"/>
        <v>646.60599999999999</v>
      </c>
      <c r="W192" s="34"/>
      <c r="X192" s="34"/>
      <c r="Y192" s="34"/>
      <c r="Z192" s="34"/>
      <c r="AA192" s="34"/>
      <c r="AB192" s="34"/>
      <c r="AC192" s="34"/>
      <c r="AD192" s="34"/>
      <c r="AE192" s="34"/>
      <c r="AF192" s="34"/>
      <c r="AG192" s="34"/>
      <c r="AH192" s="34"/>
      <c r="AI192" s="34" t="s">
        <v>305</v>
      </c>
      <c r="AJ192" s="34"/>
      <c r="AK192" s="34"/>
      <c r="AL192" s="34"/>
      <c r="AM192" s="34"/>
      <c r="AN192" s="34"/>
      <c r="AO192" s="34"/>
      <c r="AP192" s="34"/>
      <c r="AQ192" s="34"/>
      <c r="AR192" s="34"/>
      <c r="AS192" s="34"/>
      <c r="AT192" s="34"/>
      <c r="AU192" s="34"/>
      <c r="AV192" s="34"/>
      <c r="AW192" s="34"/>
      <c r="AX192" s="34"/>
      <c r="AY192" s="34"/>
      <c r="AZ192" s="34"/>
      <c r="BA192" s="5"/>
    </row>
    <row r="193" spans="1:53" ht="26.25" thickBot="1" x14ac:dyDescent="0.3">
      <c r="A193" s="24" t="s">
        <v>306</v>
      </c>
      <c r="B193" s="24" t="s">
        <v>306</v>
      </c>
      <c r="C193" s="24" t="s">
        <v>306</v>
      </c>
      <c r="D193" s="24" t="s">
        <v>306</v>
      </c>
      <c r="E193" s="24" t="s">
        <v>305</v>
      </c>
      <c r="F193" s="24" t="s">
        <v>306</v>
      </c>
      <c r="G193" s="24" t="s">
        <v>306</v>
      </c>
      <c r="H193" s="24" t="s">
        <v>306</v>
      </c>
      <c r="I193" s="24" t="s">
        <v>306</v>
      </c>
      <c r="J193" s="5" t="s">
        <v>25</v>
      </c>
      <c r="K193" s="5" t="s">
        <v>417</v>
      </c>
      <c r="L193" s="5" t="s">
        <v>407</v>
      </c>
      <c r="M193" s="5" t="s">
        <v>113</v>
      </c>
      <c r="N193" s="5" t="s">
        <v>392</v>
      </c>
      <c r="O193" s="5">
        <v>1E-3</v>
      </c>
      <c r="P193" s="91"/>
      <c r="Q193" s="91"/>
      <c r="R193" s="286">
        <v>8.8838600000000003</v>
      </c>
      <c r="S193" s="91"/>
      <c r="T193" s="91"/>
      <c r="U193" s="91"/>
      <c r="V193" s="99">
        <f t="shared" si="5"/>
        <v>8.8840000000000003</v>
      </c>
      <c r="W193" s="34"/>
      <c r="X193" s="34"/>
      <c r="Y193" s="34"/>
      <c r="Z193" s="34"/>
      <c r="AA193" s="34"/>
      <c r="AB193" s="34"/>
      <c r="AC193" s="34"/>
      <c r="AD193" s="34"/>
      <c r="AE193" s="34"/>
      <c r="AF193" s="34"/>
      <c r="AG193" s="34"/>
      <c r="AH193" s="34"/>
      <c r="AI193" s="34" t="s">
        <v>305</v>
      </c>
      <c r="AJ193" s="34"/>
      <c r="AK193" s="34"/>
      <c r="AL193" s="34"/>
      <c r="AM193" s="34"/>
      <c r="AN193" s="34"/>
      <c r="AO193" s="34"/>
      <c r="AP193" s="34"/>
      <c r="AQ193" s="34"/>
      <c r="AR193" s="34"/>
      <c r="AS193" s="34"/>
      <c r="AT193" s="34"/>
      <c r="AU193" s="34"/>
      <c r="AV193" s="34"/>
      <c r="AW193" s="34"/>
      <c r="AX193" s="34"/>
      <c r="AY193" s="34"/>
      <c r="AZ193" s="34"/>
      <c r="BA193" s="5"/>
    </row>
    <row r="194" spans="1:53" ht="51.75" thickBot="1" x14ac:dyDescent="0.3">
      <c r="A194" s="24" t="s">
        <v>306</v>
      </c>
      <c r="B194" s="24" t="s">
        <v>306</v>
      </c>
      <c r="C194" s="24" t="s">
        <v>306</v>
      </c>
      <c r="D194" s="24" t="s">
        <v>306</v>
      </c>
      <c r="E194" s="24" t="s">
        <v>305</v>
      </c>
      <c r="F194" s="24" t="s">
        <v>306</v>
      </c>
      <c r="G194" s="24" t="s">
        <v>306</v>
      </c>
      <c r="H194" s="24" t="s">
        <v>306</v>
      </c>
      <c r="I194" s="24" t="s">
        <v>306</v>
      </c>
      <c r="J194" s="5" t="s">
        <v>694</v>
      </c>
      <c r="K194" s="5" t="s">
        <v>417</v>
      </c>
      <c r="L194" s="5" t="s">
        <v>402</v>
      </c>
      <c r="M194" s="5" t="s">
        <v>113</v>
      </c>
      <c r="N194" s="5" t="s">
        <v>392</v>
      </c>
      <c r="O194" s="5">
        <v>1E-3</v>
      </c>
      <c r="P194" s="91"/>
      <c r="Q194" s="91"/>
      <c r="R194" s="286">
        <v>0</v>
      </c>
      <c r="S194" s="91"/>
      <c r="T194" s="91"/>
      <c r="U194" s="91"/>
      <c r="V194" s="99">
        <f t="shared" si="5"/>
        <v>0</v>
      </c>
      <c r="W194" s="34"/>
      <c r="X194" s="34"/>
      <c r="Y194" s="34"/>
      <c r="Z194" s="34"/>
      <c r="AA194" s="34"/>
      <c r="AB194" s="34"/>
      <c r="AC194" s="34"/>
      <c r="AD194" s="34"/>
      <c r="AE194" s="34"/>
      <c r="AF194" s="34"/>
      <c r="AG194" s="34"/>
      <c r="AH194" s="34"/>
      <c r="AI194" s="34" t="s">
        <v>305</v>
      </c>
      <c r="AJ194" s="34"/>
      <c r="AK194" s="34"/>
      <c r="AL194" s="34"/>
      <c r="AM194" s="34"/>
      <c r="AN194" s="34"/>
      <c r="AO194" s="34"/>
      <c r="AP194" s="34"/>
      <c r="AQ194" s="34"/>
      <c r="AR194" s="34" t="s">
        <v>305</v>
      </c>
      <c r="AS194" s="34"/>
      <c r="AT194" s="34"/>
      <c r="AU194" s="34"/>
      <c r="AV194" s="34"/>
      <c r="AW194" s="34"/>
      <c r="AX194" s="34"/>
      <c r="AY194" s="34"/>
      <c r="AZ194" s="34"/>
      <c r="BA194" s="5" t="s">
        <v>1059</v>
      </c>
    </row>
    <row r="195" spans="1:53" ht="51.75" thickBot="1" x14ac:dyDescent="0.3">
      <c r="A195" s="24" t="s">
        <v>306</v>
      </c>
      <c r="B195" s="24" t="s">
        <v>306</v>
      </c>
      <c r="C195" s="24" t="s">
        <v>306</v>
      </c>
      <c r="D195" s="24" t="s">
        <v>306</v>
      </c>
      <c r="E195" s="24" t="s">
        <v>305</v>
      </c>
      <c r="F195" s="24" t="s">
        <v>306</v>
      </c>
      <c r="G195" s="24" t="s">
        <v>306</v>
      </c>
      <c r="H195" s="24" t="s">
        <v>306</v>
      </c>
      <c r="I195" s="24" t="s">
        <v>306</v>
      </c>
      <c r="J195" s="5" t="s">
        <v>694</v>
      </c>
      <c r="K195" s="5" t="s">
        <v>417</v>
      </c>
      <c r="L195" s="5" t="s">
        <v>406</v>
      </c>
      <c r="M195" s="5" t="s">
        <v>113</v>
      </c>
      <c r="N195" s="5" t="s">
        <v>392</v>
      </c>
      <c r="O195" s="5">
        <v>1E-3</v>
      </c>
      <c r="P195" s="91"/>
      <c r="Q195" s="91"/>
      <c r="R195" s="286">
        <v>0</v>
      </c>
      <c r="S195" s="91"/>
      <c r="T195" s="91"/>
      <c r="U195" s="91"/>
      <c r="V195" s="99">
        <f t="shared" si="5"/>
        <v>0</v>
      </c>
      <c r="W195" s="34"/>
      <c r="X195" s="34"/>
      <c r="Y195" s="34"/>
      <c r="Z195" s="34"/>
      <c r="AA195" s="34"/>
      <c r="AB195" s="34"/>
      <c r="AC195" s="34"/>
      <c r="AD195" s="34"/>
      <c r="AE195" s="34"/>
      <c r="AF195" s="34"/>
      <c r="AG195" s="34"/>
      <c r="AH195" s="34"/>
      <c r="AI195" s="34" t="s">
        <v>305</v>
      </c>
      <c r="AJ195" s="34"/>
      <c r="AK195" s="34"/>
      <c r="AL195" s="34"/>
      <c r="AM195" s="34"/>
      <c r="AN195" s="34"/>
      <c r="AO195" s="34"/>
      <c r="AP195" s="34"/>
      <c r="AQ195" s="34"/>
      <c r="AR195" s="34" t="s">
        <v>305</v>
      </c>
      <c r="AS195" s="34"/>
      <c r="AT195" s="34"/>
      <c r="AU195" s="34"/>
      <c r="AV195" s="34"/>
      <c r="AW195" s="34"/>
      <c r="AX195" s="34"/>
      <c r="AY195" s="34"/>
      <c r="AZ195" s="34"/>
      <c r="BA195" s="5" t="s">
        <v>1059</v>
      </c>
    </row>
    <row r="196" spans="1:53" ht="102.75" thickBot="1" x14ac:dyDescent="0.3">
      <c r="A196" s="24" t="s">
        <v>306</v>
      </c>
      <c r="B196" s="24" t="s">
        <v>306</v>
      </c>
      <c r="C196" s="24" t="s">
        <v>306</v>
      </c>
      <c r="D196" s="24" t="s">
        <v>306</v>
      </c>
      <c r="E196" s="24" t="s">
        <v>305</v>
      </c>
      <c r="F196" s="24" t="s">
        <v>306</v>
      </c>
      <c r="G196" s="24" t="s">
        <v>306</v>
      </c>
      <c r="H196" s="24" t="s">
        <v>306</v>
      </c>
      <c r="I196" s="24" t="s">
        <v>306</v>
      </c>
      <c r="J196" s="5" t="s">
        <v>694</v>
      </c>
      <c r="K196" s="5" t="s">
        <v>417</v>
      </c>
      <c r="L196" s="5" t="s">
        <v>112</v>
      </c>
      <c r="M196" s="5" t="s">
        <v>113</v>
      </c>
      <c r="N196" s="5" t="s">
        <v>392</v>
      </c>
      <c r="O196" s="5">
        <v>1E-3</v>
      </c>
      <c r="P196" s="91"/>
      <c r="Q196" s="91"/>
      <c r="R196" s="286">
        <f>R192-(25*2*P145)</f>
        <v>636.56781999999998</v>
      </c>
      <c r="S196" s="91"/>
      <c r="T196" s="91"/>
      <c r="U196" s="91"/>
      <c r="V196" s="99">
        <f t="shared" si="5"/>
        <v>636.56799999999998</v>
      </c>
      <c r="W196" s="34"/>
      <c r="X196" s="34"/>
      <c r="Y196" s="34"/>
      <c r="Z196" s="34"/>
      <c r="AA196" s="34"/>
      <c r="AB196" s="34"/>
      <c r="AC196" s="34"/>
      <c r="AD196" s="34"/>
      <c r="AE196" s="34"/>
      <c r="AF196" s="34"/>
      <c r="AG196" s="34"/>
      <c r="AH196" s="34"/>
      <c r="AI196" s="34" t="s">
        <v>305</v>
      </c>
      <c r="AJ196" s="34"/>
      <c r="AK196" s="34"/>
      <c r="AL196" s="34"/>
      <c r="AM196" s="34"/>
      <c r="AN196" s="34"/>
      <c r="AO196" s="34"/>
      <c r="AP196" s="34"/>
      <c r="AQ196" s="34"/>
      <c r="AR196" s="34" t="s">
        <v>305</v>
      </c>
      <c r="AS196" s="34"/>
      <c r="AT196" s="34"/>
      <c r="AU196" s="34"/>
      <c r="AV196" s="34"/>
      <c r="AW196" s="34"/>
      <c r="AX196" s="34"/>
      <c r="AY196" s="34"/>
      <c r="AZ196" s="34"/>
      <c r="BA196" s="5" t="s">
        <v>1060</v>
      </c>
    </row>
    <row r="197" spans="1:53" ht="51.75" thickBot="1" x14ac:dyDescent="0.3">
      <c r="A197" s="24" t="s">
        <v>306</v>
      </c>
      <c r="B197" s="24" t="s">
        <v>306</v>
      </c>
      <c r="C197" s="24" t="s">
        <v>306</v>
      </c>
      <c r="D197" s="24" t="s">
        <v>306</v>
      </c>
      <c r="E197" s="24" t="s">
        <v>305</v>
      </c>
      <c r="F197" s="24" t="s">
        <v>306</v>
      </c>
      <c r="G197" s="24" t="s">
        <v>306</v>
      </c>
      <c r="H197" s="24" t="s">
        <v>306</v>
      </c>
      <c r="I197" s="24" t="s">
        <v>306</v>
      </c>
      <c r="J197" s="5" t="s">
        <v>694</v>
      </c>
      <c r="K197" s="5" t="s">
        <v>417</v>
      </c>
      <c r="L197" s="5" t="s">
        <v>407</v>
      </c>
      <c r="M197" s="5" t="s">
        <v>113</v>
      </c>
      <c r="N197" s="5" t="s">
        <v>392</v>
      </c>
      <c r="O197" s="5">
        <v>1E-3</v>
      </c>
      <c r="P197" s="91"/>
      <c r="Q197" s="91"/>
      <c r="R197" s="286">
        <v>0</v>
      </c>
      <c r="S197" s="91"/>
      <c r="T197" s="91"/>
      <c r="U197" s="91"/>
      <c r="V197" s="99">
        <f t="shared" si="5"/>
        <v>0</v>
      </c>
      <c r="W197" s="34"/>
      <c r="X197" s="34"/>
      <c r="Y197" s="34"/>
      <c r="Z197" s="34"/>
      <c r="AA197" s="34"/>
      <c r="AB197" s="34"/>
      <c r="AC197" s="34"/>
      <c r="AD197" s="34"/>
      <c r="AE197" s="34"/>
      <c r="AF197" s="34"/>
      <c r="AG197" s="34"/>
      <c r="AH197" s="34"/>
      <c r="AI197" s="34" t="s">
        <v>305</v>
      </c>
      <c r="AJ197" s="34"/>
      <c r="AK197" s="34"/>
      <c r="AL197" s="34"/>
      <c r="AM197" s="34"/>
      <c r="AN197" s="34"/>
      <c r="AO197" s="34"/>
      <c r="AP197" s="34"/>
      <c r="AQ197" s="34"/>
      <c r="AR197" s="34" t="s">
        <v>305</v>
      </c>
      <c r="AS197" s="34"/>
      <c r="AT197" s="34"/>
      <c r="AU197" s="34"/>
      <c r="AV197" s="34"/>
      <c r="AW197" s="34"/>
      <c r="AX197" s="34"/>
      <c r="AY197" s="34"/>
      <c r="AZ197" s="34"/>
      <c r="BA197" s="5" t="s">
        <v>1059</v>
      </c>
    </row>
    <row r="198" spans="1:53" ht="15.75" thickBot="1" x14ac:dyDescent="0.3">
      <c r="A198" s="24" t="s">
        <v>306</v>
      </c>
      <c r="B198" s="24" t="s">
        <v>306</v>
      </c>
      <c r="C198" s="24" t="s">
        <v>306</v>
      </c>
      <c r="D198" s="24" t="s">
        <v>306</v>
      </c>
      <c r="E198" s="24" t="s">
        <v>305</v>
      </c>
      <c r="F198" s="24" t="s">
        <v>306</v>
      </c>
      <c r="G198" s="24" t="s">
        <v>306</v>
      </c>
      <c r="H198" s="24" t="s">
        <v>306</v>
      </c>
      <c r="I198" s="24" t="s">
        <v>306</v>
      </c>
      <c r="J198" s="5" t="s">
        <v>25</v>
      </c>
      <c r="K198" s="5" t="s">
        <v>418</v>
      </c>
      <c r="L198" s="5" t="s">
        <v>402</v>
      </c>
      <c r="M198" s="5" t="s">
        <v>113</v>
      </c>
      <c r="N198" s="5" t="s">
        <v>392</v>
      </c>
      <c r="O198" s="5">
        <v>1E-3</v>
      </c>
      <c r="P198" s="91"/>
      <c r="Q198" s="198"/>
      <c r="R198" s="286">
        <v>6.4106100000000001</v>
      </c>
      <c r="S198" s="91"/>
      <c r="T198" s="91"/>
      <c r="U198" s="91"/>
      <c r="V198" s="99">
        <f t="shared" si="5"/>
        <v>6.4109999999999996</v>
      </c>
      <c r="W198" s="34"/>
      <c r="X198" s="34"/>
      <c r="Y198" s="34"/>
      <c r="Z198" s="34"/>
      <c r="AA198" s="34"/>
      <c r="AB198" s="34"/>
      <c r="AC198" s="34"/>
      <c r="AD198" s="34"/>
      <c r="AE198" s="34"/>
      <c r="AF198" s="34"/>
      <c r="AG198" s="34"/>
      <c r="AH198" s="34"/>
      <c r="AI198" s="34" t="s">
        <v>305</v>
      </c>
      <c r="AJ198" s="34"/>
      <c r="AK198" s="34"/>
      <c r="AL198" s="34"/>
      <c r="AM198" s="34"/>
      <c r="AN198" s="34"/>
      <c r="AO198" s="34"/>
      <c r="AP198" s="34"/>
      <c r="AQ198" s="34"/>
      <c r="AR198" s="34"/>
      <c r="AS198" s="34"/>
      <c r="AT198" s="34"/>
      <c r="AU198" s="34"/>
      <c r="AV198" s="34"/>
      <c r="AW198" s="34"/>
      <c r="AX198" s="34"/>
      <c r="AY198" s="34"/>
      <c r="AZ198" s="34"/>
      <c r="BA198" s="5"/>
    </row>
    <row r="199" spans="1:53" ht="15.75" thickBot="1" x14ac:dyDescent="0.3">
      <c r="A199" s="24" t="s">
        <v>306</v>
      </c>
      <c r="B199" s="24" t="s">
        <v>306</v>
      </c>
      <c r="C199" s="24" t="s">
        <v>306</v>
      </c>
      <c r="D199" s="24" t="s">
        <v>306</v>
      </c>
      <c r="E199" s="24" t="s">
        <v>305</v>
      </c>
      <c r="F199" s="24" t="s">
        <v>306</v>
      </c>
      <c r="G199" s="24" t="s">
        <v>306</v>
      </c>
      <c r="H199" s="24" t="s">
        <v>306</v>
      </c>
      <c r="I199" s="24" t="s">
        <v>306</v>
      </c>
      <c r="J199" s="5" t="s">
        <v>25</v>
      </c>
      <c r="K199" s="5" t="s">
        <v>418</v>
      </c>
      <c r="L199" s="5" t="s">
        <v>406</v>
      </c>
      <c r="M199" s="5" t="s">
        <v>113</v>
      </c>
      <c r="N199" s="5" t="s">
        <v>392</v>
      </c>
      <c r="O199" s="5">
        <v>1E-3</v>
      </c>
      <c r="P199" s="91"/>
      <c r="Q199" s="198"/>
      <c r="R199" s="286">
        <v>8.8838600000000003</v>
      </c>
      <c r="S199" s="91"/>
      <c r="T199" s="91"/>
      <c r="U199" s="91"/>
      <c r="V199" s="99">
        <f t="shared" si="5"/>
        <v>8.8840000000000003</v>
      </c>
      <c r="W199" s="34"/>
      <c r="X199" s="34"/>
      <c r="Y199" s="34"/>
      <c r="Z199" s="34"/>
      <c r="AA199" s="34"/>
      <c r="AB199" s="34"/>
      <c r="AC199" s="34"/>
      <c r="AD199" s="34"/>
      <c r="AE199" s="34"/>
      <c r="AF199" s="34"/>
      <c r="AG199" s="34"/>
      <c r="AH199" s="34"/>
      <c r="AI199" s="34" t="s">
        <v>305</v>
      </c>
      <c r="AJ199" s="34"/>
      <c r="AK199" s="34"/>
      <c r="AL199" s="34"/>
      <c r="AM199" s="34"/>
      <c r="AN199" s="34"/>
      <c r="AO199" s="34"/>
      <c r="AP199" s="34"/>
      <c r="AQ199" s="34"/>
      <c r="AR199" s="34"/>
      <c r="AS199" s="34"/>
      <c r="AT199" s="34"/>
      <c r="AU199" s="34"/>
      <c r="AV199" s="34"/>
      <c r="AW199" s="34"/>
      <c r="AX199" s="34"/>
      <c r="AY199" s="34"/>
      <c r="AZ199" s="34"/>
      <c r="BA199" s="5"/>
    </row>
    <row r="200" spans="1:53" ht="15.75" thickBot="1" x14ac:dyDescent="0.3">
      <c r="A200" s="24" t="s">
        <v>306</v>
      </c>
      <c r="B200" s="24" t="s">
        <v>306</v>
      </c>
      <c r="C200" s="24" t="s">
        <v>306</v>
      </c>
      <c r="D200" s="24" t="s">
        <v>306</v>
      </c>
      <c r="E200" s="24" t="s">
        <v>305</v>
      </c>
      <c r="F200" s="24" t="s">
        <v>306</v>
      </c>
      <c r="G200" s="24" t="s">
        <v>306</v>
      </c>
      <c r="H200" s="24" t="s">
        <v>306</v>
      </c>
      <c r="I200" s="24" t="s">
        <v>306</v>
      </c>
      <c r="J200" s="5" t="s">
        <v>25</v>
      </c>
      <c r="K200" s="5" t="s">
        <v>418</v>
      </c>
      <c r="L200" s="5" t="s">
        <v>112</v>
      </c>
      <c r="M200" s="5" t="s">
        <v>113</v>
      </c>
      <c r="N200" s="5" t="s">
        <v>392</v>
      </c>
      <c r="O200" s="5">
        <v>1E-3</v>
      </c>
      <c r="P200" s="91"/>
      <c r="Q200" s="198"/>
      <c r="R200" s="286">
        <v>655.98689999999999</v>
      </c>
      <c r="S200" s="91"/>
      <c r="T200" s="91"/>
      <c r="U200" s="91"/>
      <c r="V200" s="99">
        <f t="shared" si="5"/>
        <v>655.98699999999997</v>
      </c>
      <c r="W200" s="34"/>
      <c r="X200" s="34"/>
      <c r="Y200" s="34"/>
      <c r="Z200" s="34"/>
      <c r="AA200" s="34"/>
      <c r="AB200" s="34"/>
      <c r="AC200" s="34"/>
      <c r="AD200" s="34"/>
      <c r="AE200" s="34"/>
      <c r="AF200" s="34"/>
      <c r="AG200" s="34"/>
      <c r="AH200" s="34"/>
      <c r="AI200" s="34" t="s">
        <v>305</v>
      </c>
      <c r="AJ200" s="34"/>
      <c r="AK200" s="34"/>
      <c r="AL200" s="34"/>
      <c r="AM200" s="34"/>
      <c r="AN200" s="34"/>
      <c r="AO200" s="34"/>
      <c r="AP200" s="34"/>
      <c r="AQ200" s="34"/>
      <c r="AR200" s="34"/>
      <c r="AS200" s="34"/>
      <c r="AT200" s="34"/>
      <c r="AU200" s="34"/>
      <c r="AV200" s="34"/>
      <c r="AW200" s="34"/>
      <c r="AX200" s="34"/>
      <c r="AY200" s="34"/>
      <c r="AZ200" s="34"/>
      <c r="BA200" s="5"/>
    </row>
    <row r="201" spans="1:53" ht="26.25" thickBot="1" x14ac:dyDescent="0.3">
      <c r="A201" s="24" t="s">
        <v>306</v>
      </c>
      <c r="B201" s="24" t="s">
        <v>306</v>
      </c>
      <c r="C201" s="24" t="s">
        <v>306</v>
      </c>
      <c r="D201" s="24" t="s">
        <v>306</v>
      </c>
      <c r="E201" s="24" t="s">
        <v>305</v>
      </c>
      <c r="F201" s="24" t="s">
        <v>306</v>
      </c>
      <c r="G201" s="24" t="s">
        <v>306</v>
      </c>
      <c r="H201" s="24" t="s">
        <v>306</v>
      </c>
      <c r="I201" s="24" t="s">
        <v>306</v>
      </c>
      <c r="J201" s="5" t="s">
        <v>25</v>
      </c>
      <c r="K201" s="5" t="s">
        <v>418</v>
      </c>
      <c r="L201" s="5" t="s">
        <v>407</v>
      </c>
      <c r="M201" s="5" t="s">
        <v>113</v>
      </c>
      <c r="N201" s="5" t="s">
        <v>392</v>
      </c>
      <c r="O201" s="5">
        <v>1E-3</v>
      </c>
      <c r="P201" s="91"/>
      <c r="Q201" s="198"/>
      <c r="R201" s="286">
        <v>8.8838600000000003</v>
      </c>
      <c r="S201" s="91"/>
      <c r="T201" s="91"/>
      <c r="U201" s="91"/>
      <c r="V201" s="99">
        <f t="shared" si="5"/>
        <v>8.8840000000000003</v>
      </c>
      <c r="W201" s="34"/>
      <c r="X201" s="34"/>
      <c r="Y201" s="34"/>
      <c r="Z201" s="34"/>
      <c r="AA201" s="34"/>
      <c r="AB201" s="34"/>
      <c r="AC201" s="34"/>
      <c r="AD201" s="34"/>
      <c r="AE201" s="34"/>
      <c r="AF201" s="34"/>
      <c r="AG201" s="34"/>
      <c r="AH201" s="34"/>
      <c r="AI201" s="34" t="s">
        <v>305</v>
      </c>
      <c r="AJ201" s="34"/>
      <c r="AK201" s="34"/>
      <c r="AL201" s="34"/>
      <c r="AM201" s="34"/>
      <c r="AN201" s="34"/>
      <c r="AO201" s="34"/>
      <c r="AP201" s="34"/>
      <c r="AQ201" s="34"/>
      <c r="AR201" s="34"/>
      <c r="AS201" s="34"/>
      <c r="AT201" s="34"/>
      <c r="AU201" s="34"/>
      <c r="AV201" s="34"/>
      <c r="AW201" s="34"/>
      <c r="AX201" s="34"/>
      <c r="AY201" s="34"/>
      <c r="AZ201" s="34"/>
      <c r="BA201" s="5"/>
    </row>
    <row r="202" spans="1:53" ht="51.75" thickBot="1" x14ac:dyDescent="0.3">
      <c r="A202" s="24" t="s">
        <v>306</v>
      </c>
      <c r="B202" s="24" t="s">
        <v>306</v>
      </c>
      <c r="C202" s="24" t="s">
        <v>306</v>
      </c>
      <c r="D202" s="24" t="s">
        <v>306</v>
      </c>
      <c r="E202" s="24" t="s">
        <v>305</v>
      </c>
      <c r="F202" s="24" t="s">
        <v>306</v>
      </c>
      <c r="G202" s="24" t="s">
        <v>306</v>
      </c>
      <c r="H202" s="24" t="s">
        <v>306</v>
      </c>
      <c r="I202" s="24" t="s">
        <v>306</v>
      </c>
      <c r="J202" s="5" t="s">
        <v>694</v>
      </c>
      <c r="K202" s="5" t="s">
        <v>418</v>
      </c>
      <c r="L202" s="5" t="s">
        <v>402</v>
      </c>
      <c r="M202" s="5" t="s">
        <v>113</v>
      </c>
      <c r="N202" s="5" t="s">
        <v>392</v>
      </c>
      <c r="O202" s="5">
        <v>1E-3</v>
      </c>
      <c r="P202" s="91"/>
      <c r="Q202" s="91"/>
      <c r="R202" s="286">
        <v>0</v>
      </c>
      <c r="S202" s="91"/>
      <c r="T202" s="91"/>
      <c r="U202" s="91"/>
      <c r="V202" s="99">
        <f t="shared" si="5"/>
        <v>0</v>
      </c>
      <c r="W202" s="34"/>
      <c r="X202" s="34"/>
      <c r="Y202" s="34"/>
      <c r="Z202" s="34"/>
      <c r="AA202" s="34"/>
      <c r="AB202" s="34"/>
      <c r="AC202" s="34"/>
      <c r="AD202" s="34"/>
      <c r="AE202" s="34"/>
      <c r="AF202" s="34"/>
      <c r="AG202" s="34"/>
      <c r="AH202" s="34"/>
      <c r="AI202" s="34" t="s">
        <v>305</v>
      </c>
      <c r="AJ202" s="34"/>
      <c r="AK202" s="34"/>
      <c r="AL202" s="34"/>
      <c r="AM202" s="34"/>
      <c r="AN202" s="34"/>
      <c r="AO202" s="34"/>
      <c r="AP202" s="34"/>
      <c r="AQ202" s="34"/>
      <c r="AR202" s="34" t="s">
        <v>305</v>
      </c>
      <c r="AS202" s="34"/>
      <c r="AT202" s="34"/>
      <c r="AU202" s="34"/>
      <c r="AV202" s="34"/>
      <c r="AW202" s="34"/>
      <c r="AX202" s="34"/>
      <c r="AY202" s="34"/>
      <c r="AZ202" s="34"/>
      <c r="BA202" s="5" t="s">
        <v>1059</v>
      </c>
    </row>
    <row r="203" spans="1:53" ht="51.75" thickBot="1" x14ac:dyDescent="0.3">
      <c r="A203" s="24" t="s">
        <v>306</v>
      </c>
      <c r="B203" s="24" t="s">
        <v>306</v>
      </c>
      <c r="C203" s="24" t="s">
        <v>306</v>
      </c>
      <c r="D203" s="24" t="s">
        <v>306</v>
      </c>
      <c r="E203" s="24" t="s">
        <v>305</v>
      </c>
      <c r="F203" s="24" t="s">
        <v>306</v>
      </c>
      <c r="G203" s="24" t="s">
        <v>306</v>
      </c>
      <c r="H203" s="24" t="s">
        <v>306</v>
      </c>
      <c r="I203" s="24" t="s">
        <v>306</v>
      </c>
      <c r="J203" s="5" t="s">
        <v>694</v>
      </c>
      <c r="K203" s="5" t="s">
        <v>418</v>
      </c>
      <c r="L203" s="5" t="s">
        <v>406</v>
      </c>
      <c r="M203" s="5" t="s">
        <v>113</v>
      </c>
      <c r="N203" s="5" t="s">
        <v>392</v>
      </c>
      <c r="O203" s="5">
        <v>1E-3</v>
      </c>
      <c r="P203" s="197"/>
      <c r="Q203" s="91"/>
      <c r="R203" s="286">
        <v>0</v>
      </c>
      <c r="S203" s="91"/>
      <c r="T203" s="91"/>
      <c r="U203" s="91"/>
      <c r="V203" s="99">
        <f t="shared" si="5"/>
        <v>0</v>
      </c>
      <c r="W203" s="34"/>
      <c r="X203" s="34"/>
      <c r="Y203" s="34"/>
      <c r="Z203" s="34"/>
      <c r="AA203" s="34"/>
      <c r="AB203" s="34"/>
      <c r="AC203" s="34"/>
      <c r="AD203" s="34"/>
      <c r="AE203" s="34"/>
      <c r="AF203" s="34"/>
      <c r="AG203" s="34"/>
      <c r="AH203" s="34"/>
      <c r="AI203" s="34" t="s">
        <v>305</v>
      </c>
      <c r="AJ203" s="34"/>
      <c r="AK203" s="34"/>
      <c r="AL203" s="34"/>
      <c r="AM203" s="34"/>
      <c r="AN203" s="34"/>
      <c r="AO203" s="34"/>
      <c r="AP203" s="34"/>
      <c r="AQ203" s="34"/>
      <c r="AR203" s="34" t="s">
        <v>305</v>
      </c>
      <c r="AS203" s="34"/>
      <c r="AT203" s="34"/>
      <c r="AU203" s="34"/>
      <c r="AV203" s="34"/>
      <c r="AW203" s="34"/>
      <c r="AX203" s="34"/>
      <c r="AY203" s="34"/>
      <c r="AZ203" s="34"/>
      <c r="BA203" s="5" t="s">
        <v>1059</v>
      </c>
    </row>
    <row r="204" spans="1:53" ht="102.75" thickBot="1" x14ac:dyDescent="0.3">
      <c r="A204" s="24" t="s">
        <v>306</v>
      </c>
      <c r="B204" s="24" t="s">
        <v>306</v>
      </c>
      <c r="C204" s="24" t="s">
        <v>306</v>
      </c>
      <c r="D204" s="24" t="s">
        <v>306</v>
      </c>
      <c r="E204" s="24" t="s">
        <v>305</v>
      </c>
      <c r="F204" s="24" t="s">
        <v>306</v>
      </c>
      <c r="G204" s="24" t="s">
        <v>306</v>
      </c>
      <c r="H204" s="24" t="s">
        <v>306</v>
      </c>
      <c r="I204" s="24" t="s">
        <v>306</v>
      </c>
      <c r="J204" s="5" t="s">
        <v>694</v>
      </c>
      <c r="K204" s="5" t="s">
        <v>418</v>
      </c>
      <c r="L204" s="5" t="s">
        <v>112</v>
      </c>
      <c r="M204" s="5" t="s">
        <v>113</v>
      </c>
      <c r="N204" s="5" t="s">
        <v>392</v>
      </c>
      <c r="O204" s="5">
        <v>1E-3</v>
      </c>
      <c r="P204" s="91"/>
      <c r="Q204" s="91"/>
      <c r="R204" s="286">
        <f>R200-(25*2*P145)</f>
        <v>645.94839999999999</v>
      </c>
      <c r="S204" s="91"/>
      <c r="T204" s="91"/>
      <c r="U204" s="91"/>
      <c r="V204" s="99">
        <f t="shared" si="5"/>
        <v>645.94799999999998</v>
      </c>
      <c r="W204" s="34"/>
      <c r="X204" s="34"/>
      <c r="Y204" s="34"/>
      <c r="Z204" s="34"/>
      <c r="AA204" s="34"/>
      <c r="AB204" s="34"/>
      <c r="AC204" s="34"/>
      <c r="AD204" s="34"/>
      <c r="AE204" s="34"/>
      <c r="AF204" s="34"/>
      <c r="AG204" s="34"/>
      <c r="AH204" s="34"/>
      <c r="AI204" s="34" t="s">
        <v>305</v>
      </c>
      <c r="AJ204" s="34"/>
      <c r="AK204" s="34"/>
      <c r="AL204" s="34"/>
      <c r="AM204" s="34"/>
      <c r="AN204" s="34"/>
      <c r="AO204" s="34"/>
      <c r="AP204" s="34"/>
      <c r="AQ204" s="34"/>
      <c r="AR204" s="34" t="s">
        <v>305</v>
      </c>
      <c r="AS204" s="34"/>
      <c r="AT204" s="34"/>
      <c r="AU204" s="34"/>
      <c r="AV204" s="34"/>
      <c r="AW204" s="34"/>
      <c r="AX204" s="34"/>
      <c r="AY204" s="34"/>
      <c r="AZ204" s="34"/>
      <c r="BA204" s="5" t="s">
        <v>1060</v>
      </c>
    </row>
    <row r="205" spans="1:53" ht="51.75" thickBot="1" x14ac:dyDescent="0.3">
      <c r="A205" s="24" t="s">
        <v>306</v>
      </c>
      <c r="B205" s="24" t="s">
        <v>306</v>
      </c>
      <c r="C205" s="24" t="s">
        <v>306</v>
      </c>
      <c r="D205" s="24" t="s">
        <v>306</v>
      </c>
      <c r="E205" s="24" t="s">
        <v>305</v>
      </c>
      <c r="F205" s="24" t="s">
        <v>306</v>
      </c>
      <c r="G205" s="24" t="s">
        <v>306</v>
      </c>
      <c r="H205" s="24" t="s">
        <v>306</v>
      </c>
      <c r="I205" s="24" t="s">
        <v>306</v>
      </c>
      <c r="J205" s="5" t="s">
        <v>694</v>
      </c>
      <c r="K205" s="5" t="s">
        <v>418</v>
      </c>
      <c r="L205" s="5" t="s">
        <v>407</v>
      </c>
      <c r="M205" s="5" t="s">
        <v>113</v>
      </c>
      <c r="N205" s="5" t="s">
        <v>392</v>
      </c>
      <c r="O205" s="5">
        <v>1E-3</v>
      </c>
      <c r="P205" s="91"/>
      <c r="Q205" s="91"/>
      <c r="R205" s="286">
        <v>0</v>
      </c>
      <c r="S205" s="91"/>
      <c r="T205" s="91"/>
      <c r="U205" s="91"/>
      <c r="V205" s="99">
        <f t="shared" si="5"/>
        <v>0</v>
      </c>
      <c r="W205" s="34"/>
      <c r="X205" s="34"/>
      <c r="Y205" s="34"/>
      <c r="Z205" s="34"/>
      <c r="AA205" s="34"/>
      <c r="AB205" s="34"/>
      <c r="AC205" s="34"/>
      <c r="AD205" s="34"/>
      <c r="AE205" s="34"/>
      <c r="AF205" s="34"/>
      <c r="AG205" s="34"/>
      <c r="AH205" s="34"/>
      <c r="AI205" s="34" t="s">
        <v>305</v>
      </c>
      <c r="AJ205" s="34"/>
      <c r="AK205" s="34"/>
      <c r="AL205" s="34"/>
      <c r="AM205" s="34"/>
      <c r="AN205" s="34"/>
      <c r="AO205" s="34"/>
      <c r="AP205" s="34"/>
      <c r="AQ205" s="34"/>
      <c r="AR205" s="34" t="s">
        <v>305</v>
      </c>
      <c r="AS205" s="34"/>
      <c r="AT205" s="34"/>
      <c r="AU205" s="34"/>
      <c r="AV205" s="34"/>
      <c r="AW205" s="34"/>
      <c r="AX205" s="34"/>
      <c r="AY205" s="34"/>
      <c r="AZ205" s="34"/>
      <c r="BA205" s="5" t="s">
        <v>1059</v>
      </c>
    </row>
    <row r="206" spans="1:53" ht="26.25" thickBot="1" x14ac:dyDescent="0.3">
      <c r="A206" s="24" t="s">
        <v>306</v>
      </c>
      <c r="B206" s="24" t="s">
        <v>306</v>
      </c>
      <c r="C206" s="24" t="s">
        <v>306</v>
      </c>
      <c r="D206" s="24" t="s">
        <v>306</v>
      </c>
      <c r="E206" s="24" t="s">
        <v>305</v>
      </c>
      <c r="F206" s="24" t="s">
        <v>306</v>
      </c>
      <c r="G206" s="24" t="s">
        <v>306</v>
      </c>
      <c r="H206" s="24" t="s">
        <v>306</v>
      </c>
      <c r="I206" s="24" t="s">
        <v>306</v>
      </c>
      <c r="J206" s="5" t="s">
        <v>25</v>
      </c>
      <c r="K206" s="5" t="s">
        <v>419</v>
      </c>
      <c r="L206" s="5" t="s">
        <v>402</v>
      </c>
      <c r="M206" s="5" t="s">
        <v>113</v>
      </c>
      <c r="N206" s="5" t="s">
        <v>392</v>
      </c>
      <c r="O206" s="5">
        <v>1E-3</v>
      </c>
      <c r="P206" s="91"/>
      <c r="Q206" s="91"/>
      <c r="R206" s="206">
        <v>82</v>
      </c>
      <c r="S206" s="91"/>
      <c r="T206" s="91"/>
      <c r="U206" s="91"/>
      <c r="V206" s="99">
        <f t="shared" si="5"/>
        <v>82</v>
      </c>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t="s">
        <v>305</v>
      </c>
      <c r="AW206" s="34"/>
      <c r="AX206" s="34"/>
      <c r="AY206" s="34"/>
      <c r="AZ206" s="34"/>
      <c r="BA206" s="5"/>
    </row>
    <row r="207" spans="1:53" ht="51.75" thickBot="1" x14ac:dyDescent="0.3">
      <c r="A207" s="24" t="s">
        <v>306</v>
      </c>
      <c r="B207" s="24" t="s">
        <v>306</v>
      </c>
      <c r="C207" s="24" t="s">
        <v>306</v>
      </c>
      <c r="D207" s="24" t="s">
        <v>306</v>
      </c>
      <c r="E207" s="24" t="s">
        <v>305</v>
      </c>
      <c r="F207" s="24" t="s">
        <v>306</v>
      </c>
      <c r="G207" s="24" t="s">
        <v>306</v>
      </c>
      <c r="H207" s="24" t="s">
        <v>306</v>
      </c>
      <c r="I207" s="24" t="s">
        <v>306</v>
      </c>
      <c r="J207" s="5" t="s">
        <v>694</v>
      </c>
      <c r="K207" s="5" t="s">
        <v>419</v>
      </c>
      <c r="L207" s="5" t="s">
        <v>402</v>
      </c>
      <c r="M207" s="5" t="s">
        <v>113</v>
      </c>
      <c r="N207" s="5" t="s">
        <v>392</v>
      </c>
      <c r="O207" s="5">
        <v>1E-3</v>
      </c>
      <c r="P207" s="91"/>
      <c r="Q207" s="91"/>
      <c r="R207" s="206">
        <v>0</v>
      </c>
      <c r="S207" s="91"/>
      <c r="T207" s="91"/>
      <c r="U207" s="91"/>
      <c r="V207" s="99">
        <f t="shared" si="5"/>
        <v>0</v>
      </c>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t="s">
        <v>305</v>
      </c>
      <c r="AS207" s="34"/>
      <c r="AT207" s="34"/>
      <c r="AU207" s="34"/>
      <c r="AV207" s="34" t="s">
        <v>305</v>
      </c>
      <c r="AW207" s="34"/>
      <c r="AX207" s="34"/>
      <c r="AY207" s="34"/>
      <c r="AZ207" s="34"/>
      <c r="BA207" s="5" t="s">
        <v>1059</v>
      </c>
    </row>
    <row r="208" spans="1:53" ht="39" thickBot="1" x14ac:dyDescent="0.3">
      <c r="A208" s="24" t="s">
        <v>306</v>
      </c>
      <c r="B208" s="24" t="s">
        <v>306</v>
      </c>
      <c r="C208" s="24" t="s">
        <v>306</v>
      </c>
      <c r="D208" s="24" t="s">
        <v>306</v>
      </c>
      <c r="E208" s="24" t="s">
        <v>305</v>
      </c>
      <c r="F208" s="24" t="s">
        <v>306</v>
      </c>
      <c r="G208" s="24" t="s">
        <v>306</v>
      </c>
      <c r="H208" s="24" t="s">
        <v>306</v>
      </c>
      <c r="I208" s="24" t="s">
        <v>306</v>
      </c>
      <c r="J208" s="5" t="s">
        <v>25</v>
      </c>
      <c r="K208" s="5" t="s">
        <v>420</v>
      </c>
      <c r="L208" s="5" t="s">
        <v>421</v>
      </c>
      <c r="M208" s="5" t="s">
        <v>113</v>
      </c>
      <c r="N208" s="5" t="s">
        <v>392</v>
      </c>
      <c r="O208" s="5">
        <v>1E-3</v>
      </c>
      <c r="P208" s="91"/>
      <c r="Q208" s="91"/>
      <c r="R208" s="206">
        <v>402</v>
      </c>
      <c r="S208" s="91"/>
      <c r="T208" s="91"/>
      <c r="U208" s="91"/>
      <c r="V208" s="99">
        <f t="shared" si="5"/>
        <v>402</v>
      </c>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t="s">
        <v>305</v>
      </c>
      <c r="AW208" s="34" t="s">
        <v>305</v>
      </c>
      <c r="AX208" s="34"/>
      <c r="AY208" s="34"/>
      <c r="AZ208" s="34"/>
      <c r="BA208" s="5"/>
    </row>
    <row r="209" spans="1:53" ht="39" thickBot="1" x14ac:dyDescent="0.3">
      <c r="A209" s="24" t="s">
        <v>306</v>
      </c>
      <c r="B209" s="24" t="s">
        <v>306</v>
      </c>
      <c r="C209" s="24" t="s">
        <v>306</v>
      </c>
      <c r="D209" s="24" t="s">
        <v>306</v>
      </c>
      <c r="E209" s="24" t="s">
        <v>305</v>
      </c>
      <c r="F209" s="24" t="s">
        <v>306</v>
      </c>
      <c r="G209" s="24" t="s">
        <v>306</v>
      </c>
      <c r="H209" s="24" t="s">
        <v>306</v>
      </c>
      <c r="I209" s="24" t="s">
        <v>306</v>
      </c>
      <c r="J209" s="5" t="s">
        <v>25</v>
      </c>
      <c r="K209" s="5" t="s">
        <v>422</v>
      </c>
      <c r="L209" s="5" t="s">
        <v>423</v>
      </c>
      <c r="M209" s="5" t="s">
        <v>113</v>
      </c>
      <c r="N209" s="5" t="s">
        <v>392</v>
      </c>
      <c r="O209" s="5">
        <v>1E-3</v>
      </c>
      <c r="P209" s="91"/>
      <c r="Q209" s="91"/>
      <c r="R209" s="206">
        <v>1074</v>
      </c>
      <c r="S209" s="91"/>
      <c r="T209" s="91"/>
      <c r="U209" s="91"/>
      <c r="V209" s="99">
        <f t="shared" si="5"/>
        <v>1074</v>
      </c>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t="s">
        <v>305</v>
      </c>
      <c r="AW209" s="34" t="s">
        <v>305</v>
      </c>
      <c r="AX209" s="34" t="s">
        <v>305</v>
      </c>
      <c r="AY209" s="34"/>
      <c r="AZ209" s="34"/>
      <c r="BA209" s="5"/>
    </row>
    <row r="210" spans="1:53" ht="39" thickBot="1" x14ac:dyDescent="0.3">
      <c r="A210" s="24" t="s">
        <v>306</v>
      </c>
      <c r="B210" s="24" t="s">
        <v>306</v>
      </c>
      <c r="C210" s="24" t="s">
        <v>306</v>
      </c>
      <c r="D210" s="24" t="s">
        <v>306</v>
      </c>
      <c r="E210" s="24" t="s">
        <v>305</v>
      </c>
      <c r="F210" s="24" t="s">
        <v>306</v>
      </c>
      <c r="G210" s="24" t="s">
        <v>306</v>
      </c>
      <c r="H210" s="24" t="s">
        <v>306</v>
      </c>
      <c r="I210" s="24" t="s">
        <v>306</v>
      </c>
      <c r="J210" s="5" t="s">
        <v>25</v>
      </c>
      <c r="K210" s="5" t="s">
        <v>424</v>
      </c>
      <c r="L210" s="5" t="s">
        <v>423</v>
      </c>
      <c r="M210" s="5" t="s">
        <v>113</v>
      </c>
      <c r="N210" s="5" t="s">
        <v>392</v>
      </c>
      <c r="O210" s="5">
        <v>1E-3</v>
      </c>
      <c r="P210" s="91"/>
      <c r="Q210" s="91"/>
      <c r="R210" s="206">
        <v>1074</v>
      </c>
      <c r="S210" s="91"/>
      <c r="T210" s="91"/>
      <c r="U210" s="91"/>
      <c r="V210" s="99">
        <f t="shared" ref="V210:V273" si="6">ROUND(SUM(P210:U210),3)</f>
        <v>1074</v>
      </c>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t="s">
        <v>305</v>
      </c>
      <c r="AW210" s="34" t="s">
        <v>305</v>
      </c>
      <c r="AX210" s="34" t="s">
        <v>305</v>
      </c>
      <c r="AY210" s="34"/>
      <c r="AZ210" s="34"/>
      <c r="BA210" s="5"/>
    </row>
    <row r="211" spans="1:53" ht="39" thickBot="1" x14ac:dyDescent="0.3">
      <c r="A211" s="24" t="s">
        <v>306</v>
      </c>
      <c r="B211" s="24" t="s">
        <v>306</v>
      </c>
      <c r="C211" s="24" t="s">
        <v>306</v>
      </c>
      <c r="D211" s="24" t="s">
        <v>306</v>
      </c>
      <c r="E211" s="24" t="s">
        <v>305</v>
      </c>
      <c r="F211" s="24" t="s">
        <v>306</v>
      </c>
      <c r="G211" s="24" t="s">
        <v>306</v>
      </c>
      <c r="H211" s="24" t="s">
        <v>306</v>
      </c>
      <c r="I211" s="24" t="s">
        <v>306</v>
      </c>
      <c r="J211" s="5" t="s">
        <v>25</v>
      </c>
      <c r="K211" s="5" t="s">
        <v>425</v>
      </c>
      <c r="L211" s="5" t="s">
        <v>423</v>
      </c>
      <c r="M211" s="5" t="s">
        <v>113</v>
      </c>
      <c r="N211" s="5" t="s">
        <v>392</v>
      </c>
      <c r="O211" s="5">
        <v>1E-3</v>
      </c>
      <c r="P211" s="91"/>
      <c r="Q211" s="91"/>
      <c r="R211" s="206">
        <v>1074</v>
      </c>
      <c r="S211" s="91"/>
      <c r="T211" s="91"/>
      <c r="U211" s="91"/>
      <c r="V211" s="99">
        <f t="shared" si="6"/>
        <v>1074</v>
      </c>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t="s">
        <v>305</v>
      </c>
      <c r="AW211" s="34" t="s">
        <v>305</v>
      </c>
      <c r="AX211" s="34" t="s">
        <v>305</v>
      </c>
      <c r="AY211" s="34"/>
      <c r="AZ211" s="34"/>
      <c r="BA211" s="5"/>
    </row>
    <row r="212" spans="1:53" ht="39" thickBot="1" x14ac:dyDescent="0.3">
      <c r="A212" s="24" t="s">
        <v>306</v>
      </c>
      <c r="B212" s="24" t="s">
        <v>306</v>
      </c>
      <c r="C212" s="24" t="s">
        <v>306</v>
      </c>
      <c r="D212" s="24" t="s">
        <v>306</v>
      </c>
      <c r="E212" s="24" t="s">
        <v>305</v>
      </c>
      <c r="F212" s="24" t="s">
        <v>306</v>
      </c>
      <c r="G212" s="24" t="s">
        <v>306</v>
      </c>
      <c r="H212" s="24" t="s">
        <v>306</v>
      </c>
      <c r="I212" s="24" t="s">
        <v>306</v>
      </c>
      <c r="J212" s="19" t="s">
        <v>25</v>
      </c>
      <c r="K212" s="5" t="s">
        <v>426</v>
      </c>
      <c r="L212" s="5" t="s">
        <v>423</v>
      </c>
      <c r="M212" s="5" t="s">
        <v>113</v>
      </c>
      <c r="N212" s="5" t="s">
        <v>392</v>
      </c>
      <c r="O212" s="5">
        <v>1E-3</v>
      </c>
      <c r="P212" s="195"/>
      <c r="Q212" s="91"/>
      <c r="R212" s="206">
        <v>1074</v>
      </c>
      <c r="S212" s="91"/>
      <c r="T212" s="91"/>
      <c r="U212" s="91"/>
      <c r="V212" s="99">
        <f t="shared" si="6"/>
        <v>1074</v>
      </c>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t="s">
        <v>305</v>
      </c>
      <c r="AW212" s="34" t="s">
        <v>305</v>
      </c>
      <c r="AX212" s="34" t="s">
        <v>305</v>
      </c>
      <c r="AY212" s="34"/>
      <c r="AZ212" s="34"/>
      <c r="BA212" s="5"/>
    </row>
    <row r="213" spans="1:53" ht="15.75" thickBot="1" x14ac:dyDescent="0.3">
      <c r="A213" s="24" t="s">
        <v>305</v>
      </c>
      <c r="B213" s="24" t="s">
        <v>306</v>
      </c>
      <c r="C213" s="24" t="s">
        <v>306</v>
      </c>
      <c r="D213" s="24" t="s">
        <v>306</v>
      </c>
      <c r="E213" s="24" t="s">
        <v>306</v>
      </c>
      <c r="F213" s="24" t="s">
        <v>306</v>
      </c>
      <c r="G213" s="24" t="s">
        <v>306</v>
      </c>
      <c r="H213" s="24" t="s">
        <v>306</v>
      </c>
      <c r="I213" s="192" t="s">
        <v>306</v>
      </c>
      <c r="J213" s="193" t="s">
        <v>975</v>
      </c>
      <c r="K213" s="5" t="s">
        <v>803</v>
      </c>
      <c r="L213" s="5"/>
      <c r="M213" s="5" t="s">
        <v>392</v>
      </c>
      <c r="N213" s="5"/>
      <c r="O213" s="196"/>
      <c r="P213" s="301">
        <v>12400</v>
      </c>
      <c r="Q213" s="91"/>
      <c r="R213" s="91"/>
      <c r="S213" s="91"/>
      <c r="T213" s="91"/>
      <c r="U213" s="91"/>
      <c r="V213" s="99">
        <f t="shared" si="6"/>
        <v>12400</v>
      </c>
      <c r="W213" s="34"/>
      <c r="X213" s="34" t="s">
        <v>305</v>
      </c>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5"/>
    </row>
    <row r="214" spans="1:53" ht="15.75" thickBot="1" x14ac:dyDescent="0.3">
      <c r="A214" s="24" t="s">
        <v>305</v>
      </c>
      <c r="B214" s="24" t="s">
        <v>306</v>
      </c>
      <c r="C214" s="24" t="s">
        <v>306</v>
      </c>
      <c r="D214" s="24" t="s">
        <v>306</v>
      </c>
      <c r="E214" s="24" t="s">
        <v>306</v>
      </c>
      <c r="F214" s="24" t="s">
        <v>306</v>
      </c>
      <c r="G214" s="24" t="s">
        <v>306</v>
      </c>
      <c r="H214" s="24" t="s">
        <v>306</v>
      </c>
      <c r="I214" s="192" t="s">
        <v>306</v>
      </c>
      <c r="J214" s="193" t="s">
        <v>975</v>
      </c>
      <c r="K214" s="5" t="s">
        <v>804</v>
      </c>
      <c r="L214" s="5"/>
      <c r="M214" s="5" t="s">
        <v>392</v>
      </c>
      <c r="N214" s="5"/>
      <c r="O214" s="196"/>
      <c r="P214" s="302">
        <v>677</v>
      </c>
      <c r="Q214" s="91"/>
      <c r="R214" s="91"/>
      <c r="S214" s="91"/>
      <c r="T214" s="91"/>
      <c r="U214" s="91"/>
      <c r="V214" s="99">
        <f t="shared" si="6"/>
        <v>677</v>
      </c>
      <c r="W214" s="34"/>
      <c r="X214" s="34" t="s">
        <v>305</v>
      </c>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5"/>
    </row>
    <row r="215" spans="1:53" ht="15.75" thickBot="1" x14ac:dyDescent="0.3">
      <c r="A215" s="24" t="s">
        <v>305</v>
      </c>
      <c r="B215" s="24" t="s">
        <v>306</v>
      </c>
      <c r="C215" s="24" t="s">
        <v>306</v>
      </c>
      <c r="D215" s="24" t="s">
        <v>306</v>
      </c>
      <c r="E215" s="24" t="s">
        <v>306</v>
      </c>
      <c r="F215" s="24" t="s">
        <v>306</v>
      </c>
      <c r="G215" s="24" t="s">
        <v>306</v>
      </c>
      <c r="H215" s="24" t="s">
        <v>306</v>
      </c>
      <c r="I215" s="192" t="s">
        <v>306</v>
      </c>
      <c r="J215" s="193" t="s">
        <v>975</v>
      </c>
      <c r="K215" s="5" t="s">
        <v>805</v>
      </c>
      <c r="L215" s="5"/>
      <c r="M215" s="5" t="s">
        <v>392</v>
      </c>
      <c r="N215" s="5"/>
      <c r="O215" s="196"/>
      <c r="P215" s="302">
        <v>116</v>
      </c>
      <c r="Q215" s="91"/>
      <c r="R215" s="91"/>
      <c r="S215" s="91"/>
      <c r="T215" s="91"/>
      <c r="U215" s="91"/>
      <c r="V215" s="99">
        <f t="shared" si="6"/>
        <v>116</v>
      </c>
      <c r="W215" s="34"/>
      <c r="X215" s="34" t="s">
        <v>305</v>
      </c>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5"/>
    </row>
    <row r="216" spans="1:53" ht="15.75" thickBot="1" x14ac:dyDescent="0.3">
      <c r="A216" s="24" t="s">
        <v>305</v>
      </c>
      <c r="B216" s="24" t="s">
        <v>306</v>
      </c>
      <c r="C216" s="24" t="s">
        <v>306</v>
      </c>
      <c r="D216" s="24" t="s">
        <v>306</v>
      </c>
      <c r="E216" s="24" t="s">
        <v>306</v>
      </c>
      <c r="F216" s="24" t="s">
        <v>306</v>
      </c>
      <c r="G216" s="24" t="s">
        <v>306</v>
      </c>
      <c r="H216" s="24" t="s">
        <v>306</v>
      </c>
      <c r="I216" s="192" t="s">
        <v>306</v>
      </c>
      <c r="J216" s="193" t="s">
        <v>975</v>
      </c>
      <c r="K216" s="5" t="s">
        <v>806</v>
      </c>
      <c r="L216" s="5"/>
      <c r="M216" s="5" t="s">
        <v>392</v>
      </c>
      <c r="N216" s="5"/>
      <c r="O216" s="196"/>
      <c r="P216" s="302">
        <v>3170</v>
      </c>
      <c r="Q216" s="91"/>
      <c r="R216" s="91"/>
      <c r="S216" s="91"/>
      <c r="T216" s="91"/>
      <c r="U216" s="91"/>
      <c r="V216" s="99">
        <f t="shared" si="6"/>
        <v>3170</v>
      </c>
      <c r="W216" s="34"/>
      <c r="X216" s="34" t="s">
        <v>305</v>
      </c>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5"/>
    </row>
    <row r="217" spans="1:53" ht="15.75" thickBot="1" x14ac:dyDescent="0.3">
      <c r="A217" s="24" t="s">
        <v>305</v>
      </c>
      <c r="B217" s="24" t="s">
        <v>306</v>
      </c>
      <c r="C217" s="24" t="s">
        <v>306</v>
      </c>
      <c r="D217" s="24" t="s">
        <v>306</v>
      </c>
      <c r="E217" s="24" t="s">
        <v>306</v>
      </c>
      <c r="F217" s="24" t="s">
        <v>306</v>
      </c>
      <c r="G217" s="24" t="s">
        <v>306</v>
      </c>
      <c r="H217" s="24" t="s">
        <v>306</v>
      </c>
      <c r="I217" s="192" t="s">
        <v>306</v>
      </c>
      <c r="J217" s="193" t="s">
        <v>975</v>
      </c>
      <c r="K217" s="5" t="s">
        <v>807</v>
      </c>
      <c r="L217" s="5"/>
      <c r="M217" s="5" t="s">
        <v>392</v>
      </c>
      <c r="N217" s="5"/>
      <c r="O217" s="196"/>
      <c r="P217" s="302">
        <v>1120</v>
      </c>
      <c r="Q217" s="91"/>
      <c r="R217" s="91"/>
      <c r="S217" s="91"/>
      <c r="T217" s="91"/>
      <c r="U217" s="91"/>
      <c r="V217" s="99">
        <f t="shared" si="6"/>
        <v>1120</v>
      </c>
      <c r="W217" s="34"/>
      <c r="X217" s="34" t="s">
        <v>305</v>
      </c>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5"/>
    </row>
    <row r="218" spans="1:53" ht="15.75" thickBot="1" x14ac:dyDescent="0.3">
      <c r="A218" s="24" t="s">
        <v>305</v>
      </c>
      <c r="B218" s="24" t="s">
        <v>306</v>
      </c>
      <c r="C218" s="24" t="s">
        <v>306</v>
      </c>
      <c r="D218" s="24" t="s">
        <v>306</v>
      </c>
      <c r="E218" s="24" t="s">
        <v>306</v>
      </c>
      <c r="F218" s="24" t="s">
        <v>306</v>
      </c>
      <c r="G218" s="24" t="s">
        <v>306</v>
      </c>
      <c r="H218" s="24" t="s">
        <v>306</v>
      </c>
      <c r="I218" s="192" t="s">
        <v>306</v>
      </c>
      <c r="J218" s="193" t="s">
        <v>975</v>
      </c>
      <c r="K218" s="5" t="s">
        <v>808</v>
      </c>
      <c r="L218" s="5"/>
      <c r="M218" s="5" t="s">
        <v>392</v>
      </c>
      <c r="N218" s="5"/>
      <c r="O218" s="196"/>
      <c r="P218" s="302">
        <v>1300</v>
      </c>
      <c r="Q218" s="91"/>
      <c r="R218" s="91"/>
      <c r="S218" s="91"/>
      <c r="T218" s="91"/>
      <c r="U218" s="91"/>
      <c r="V218" s="99">
        <f t="shared" si="6"/>
        <v>1300</v>
      </c>
      <c r="W218" s="34"/>
      <c r="X218" s="34" t="s">
        <v>305</v>
      </c>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5"/>
    </row>
    <row r="219" spans="1:53" ht="15.75" thickBot="1" x14ac:dyDescent="0.3">
      <c r="A219" s="24" t="s">
        <v>305</v>
      </c>
      <c r="B219" s="24" t="s">
        <v>306</v>
      </c>
      <c r="C219" s="24" t="s">
        <v>306</v>
      </c>
      <c r="D219" s="24" t="s">
        <v>306</v>
      </c>
      <c r="E219" s="24" t="s">
        <v>306</v>
      </c>
      <c r="F219" s="24" t="s">
        <v>306</v>
      </c>
      <c r="G219" s="24" t="s">
        <v>306</v>
      </c>
      <c r="H219" s="24" t="s">
        <v>306</v>
      </c>
      <c r="I219" s="192" t="s">
        <v>306</v>
      </c>
      <c r="J219" s="193" t="s">
        <v>975</v>
      </c>
      <c r="K219" s="5" t="s">
        <v>809</v>
      </c>
      <c r="L219" s="5"/>
      <c r="M219" s="5" t="s">
        <v>392</v>
      </c>
      <c r="N219" s="5"/>
      <c r="O219" s="196"/>
      <c r="P219" s="302">
        <v>328</v>
      </c>
      <c r="Q219" s="91"/>
      <c r="R219" s="91"/>
      <c r="S219" s="91"/>
      <c r="T219" s="91"/>
      <c r="U219" s="91"/>
      <c r="V219" s="99">
        <f t="shared" si="6"/>
        <v>328</v>
      </c>
      <c r="W219" s="34"/>
      <c r="X219" s="34" t="s">
        <v>305</v>
      </c>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5"/>
    </row>
    <row r="220" spans="1:53" ht="15.75" thickBot="1" x14ac:dyDescent="0.3">
      <c r="A220" s="24" t="s">
        <v>305</v>
      </c>
      <c r="B220" s="24" t="s">
        <v>306</v>
      </c>
      <c r="C220" s="24" t="s">
        <v>306</v>
      </c>
      <c r="D220" s="24" t="s">
        <v>306</v>
      </c>
      <c r="E220" s="24" t="s">
        <v>306</v>
      </c>
      <c r="F220" s="24" t="s">
        <v>306</v>
      </c>
      <c r="G220" s="24" t="s">
        <v>306</v>
      </c>
      <c r="H220" s="24" t="s">
        <v>306</v>
      </c>
      <c r="I220" s="192" t="s">
        <v>306</v>
      </c>
      <c r="J220" s="193" t="s">
        <v>975</v>
      </c>
      <c r="K220" s="5" t="s">
        <v>810</v>
      </c>
      <c r="L220" s="5"/>
      <c r="M220" s="5" t="s">
        <v>392</v>
      </c>
      <c r="N220" s="5"/>
      <c r="O220" s="196"/>
      <c r="P220" s="302">
        <v>4800</v>
      </c>
      <c r="Q220" s="91"/>
      <c r="R220" s="91"/>
      <c r="S220" s="91"/>
      <c r="T220" s="91"/>
      <c r="U220" s="91"/>
      <c r="V220" s="99">
        <f t="shared" si="6"/>
        <v>4800</v>
      </c>
      <c r="W220" s="34"/>
      <c r="X220" s="34" t="s">
        <v>305</v>
      </c>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5"/>
    </row>
    <row r="221" spans="1:53" ht="15.75" thickBot="1" x14ac:dyDescent="0.3">
      <c r="A221" s="24" t="s">
        <v>305</v>
      </c>
      <c r="B221" s="24" t="s">
        <v>306</v>
      </c>
      <c r="C221" s="24" t="s">
        <v>306</v>
      </c>
      <c r="D221" s="24" t="s">
        <v>306</v>
      </c>
      <c r="E221" s="24" t="s">
        <v>306</v>
      </c>
      <c r="F221" s="24" t="s">
        <v>306</v>
      </c>
      <c r="G221" s="24" t="s">
        <v>306</v>
      </c>
      <c r="H221" s="24" t="s">
        <v>306</v>
      </c>
      <c r="I221" s="192" t="s">
        <v>306</v>
      </c>
      <c r="J221" s="193" t="s">
        <v>975</v>
      </c>
      <c r="K221" s="5" t="s">
        <v>811</v>
      </c>
      <c r="L221" s="5"/>
      <c r="M221" s="5" t="s">
        <v>392</v>
      </c>
      <c r="N221" s="5"/>
      <c r="O221" s="196"/>
      <c r="P221" s="302">
        <v>138</v>
      </c>
      <c r="Q221" s="91"/>
      <c r="R221" s="91"/>
      <c r="S221" s="91"/>
      <c r="T221" s="91"/>
      <c r="U221" s="91"/>
      <c r="V221" s="99">
        <f t="shared" si="6"/>
        <v>138</v>
      </c>
      <c r="W221" s="34"/>
      <c r="X221" s="34" t="s">
        <v>305</v>
      </c>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5"/>
    </row>
    <row r="222" spans="1:53" ht="15.75" thickBot="1" x14ac:dyDescent="0.3">
      <c r="A222" s="24" t="s">
        <v>305</v>
      </c>
      <c r="B222" s="24" t="s">
        <v>306</v>
      </c>
      <c r="C222" s="24" t="s">
        <v>306</v>
      </c>
      <c r="D222" s="24" t="s">
        <v>306</v>
      </c>
      <c r="E222" s="24" t="s">
        <v>306</v>
      </c>
      <c r="F222" s="24" t="s">
        <v>306</v>
      </c>
      <c r="G222" s="24" t="s">
        <v>306</v>
      </c>
      <c r="H222" s="24" t="s">
        <v>306</v>
      </c>
      <c r="I222" s="192" t="s">
        <v>306</v>
      </c>
      <c r="J222" s="193" t="s">
        <v>975</v>
      </c>
      <c r="K222" s="5" t="s">
        <v>812</v>
      </c>
      <c r="L222" s="5"/>
      <c r="M222" s="5" t="s">
        <v>392</v>
      </c>
      <c r="N222" s="5"/>
      <c r="O222" s="196"/>
      <c r="P222" s="302">
        <v>3350</v>
      </c>
      <c r="Q222" s="91"/>
      <c r="R222" s="91"/>
      <c r="S222" s="91"/>
      <c r="T222" s="91"/>
      <c r="U222" s="91"/>
      <c r="V222" s="99">
        <f t="shared" si="6"/>
        <v>3350</v>
      </c>
      <c r="W222" s="34"/>
      <c r="X222" s="34" t="s">
        <v>305</v>
      </c>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5"/>
    </row>
    <row r="223" spans="1:53" ht="15.75" thickBot="1" x14ac:dyDescent="0.3">
      <c r="A223" s="24" t="s">
        <v>305</v>
      </c>
      <c r="B223" s="24" t="s">
        <v>306</v>
      </c>
      <c r="C223" s="24" t="s">
        <v>306</v>
      </c>
      <c r="D223" s="24" t="s">
        <v>306</v>
      </c>
      <c r="E223" s="24" t="s">
        <v>306</v>
      </c>
      <c r="F223" s="24" t="s">
        <v>306</v>
      </c>
      <c r="G223" s="24" t="s">
        <v>306</v>
      </c>
      <c r="H223" s="24" t="s">
        <v>306</v>
      </c>
      <c r="I223" s="192" t="s">
        <v>306</v>
      </c>
      <c r="J223" s="193" t="s">
        <v>975</v>
      </c>
      <c r="K223" s="5" t="s">
        <v>813</v>
      </c>
      <c r="L223" s="5"/>
      <c r="M223" s="5" t="s">
        <v>392</v>
      </c>
      <c r="N223" s="5"/>
      <c r="O223" s="196"/>
      <c r="P223" s="302">
        <v>8060</v>
      </c>
      <c r="Q223" s="91"/>
      <c r="R223" s="91"/>
      <c r="S223" s="91"/>
      <c r="T223" s="91"/>
      <c r="U223" s="91"/>
      <c r="V223" s="99">
        <f t="shared" si="6"/>
        <v>8060</v>
      </c>
      <c r="W223" s="34"/>
      <c r="X223" s="34" t="s">
        <v>305</v>
      </c>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5"/>
    </row>
    <row r="224" spans="1:53" ht="15.75" thickBot="1" x14ac:dyDescent="0.3">
      <c r="A224" s="24" t="s">
        <v>305</v>
      </c>
      <c r="B224" s="24" t="s">
        <v>306</v>
      </c>
      <c r="C224" s="24" t="s">
        <v>306</v>
      </c>
      <c r="D224" s="24" t="s">
        <v>306</v>
      </c>
      <c r="E224" s="24" t="s">
        <v>306</v>
      </c>
      <c r="F224" s="24" t="s">
        <v>306</v>
      </c>
      <c r="G224" s="24" t="s">
        <v>306</v>
      </c>
      <c r="H224" s="24" t="s">
        <v>306</v>
      </c>
      <c r="I224" s="192" t="s">
        <v>306</v>
      </c>
      <c r="J224" s="193" t="s">
        <v>975</v>
      </c>
      <c r="K224" s="5" t="s">
        <v>814</v>
      </c>
      <c r="L224" s="5"/>
      <c r="M224" s="5" t="s">
        <v>392</v>
      </c>
      <c r="N224" s="5"/>
      <c r="O224" s="196"/>
      <c r="P224" s="302">
        <v>858</v>
      </c>
      <c r="Q224" s="91"/>
      <c r="R224" s="91"/>
      <c r="S224" s="91"/>
      <c r="T224" s="91"/>
      <c r="U224" s="91"/>
      <c r="V224" s="99">
        <f t="shared" si="6"/>
        <v>858</v>
      </c>
      <c r="W224" s="34"/>
      <c r="X224" s="34" t="s">
        <v>305</v>
      </c>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5"/>
    </row>
    <row r="225" spans="1:53" ht="15.75" thickBot="1" x14ac:dyDescent="0.3">
      <c r="A225" s="24" t="s">
        <v>305</v>
      </c>
      <c r="B225" s="24" t="s">
        <v>306</v>
      </c>
      <c r="C225" s="24" t="s">
        <v>306</v>
      </c>
      <c r="D225" s="24" t="s">
        <v>306</v>
      </c>
      <c r="E225" s="24" t="s">
        <v>306</v>
      </c>
      <c r="F225" s="24" t="s">
        <v>306</v>
      </c>
      <c r="G225" s="24" t="s">
        <v>306</v>
      </c>
      <c r="H225" s="24" t="s">
        <v>306</v>
      </c>
      <c r="I225" s="192" t="s">
        <v>306</v>
      </c>
      <c r="J225" s="193" t="s">
        <v>975</v>
      </c>
      <c r="K225" s="5" t="s">
        <v>815</v>
      </c>
      <c r="L225" s="5"/>
      <c r="M225" s="5" t="s">
        <v>392</v>
      </c>
      <c r="N225" s="5"/>
      <c r="O225" s="196"/>
      <c r="P225" s="302">
        <v>1650</v>
      </c>
      <c r="Q225" s="91"/>
      <c r="R225" s="91"/>
      <c r="S225" s="91"/>
      <c r="T225" s="91"/>
      <c r="U225" s="91"/>
      <c r="V225" s="99">
        <f t="shared" si="6"/>
        <v>1650</v>
      </c>
      <c r="W225" s="34"/>
      <c r="X225" s="34" t="s">
        <v>305</v>
      </c>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5"/>
    </row>
    <row r="226" spans="1:53" ht="26.25" thickBot="1" x14ac:dyDescent="0.3">
      <c r="A226" s="24" t="s">
        <v>305</v>
      </c>
      <c r="B226" s="24" t="s">
        <v>306</v>
      </c>
      <c r="C226" s="24" t="s">
        <v>306</v>
      </c>
      <c r="D226" s="24" t="s">
        <v>306</v>
      </c>
      <c r="E226" s="24" t="s">
        <v>306</v>
      </c>
      <c r="F226" s="24" t="s">
        <v>306</v>
      </c>
      <c r="G226" s="24" t="s">
        <v>306</v>
      </c>
      <c r="H226" s="24" t="s">
        <v>306</v>
      </c>
      <c r="I226" s="192" t="s">
        <v>306</v>
      </c>
      <c r="J226" s="193" t="s">
        <v>975</v>
      </c>
      <c r="K226" s="5" t="s">
        <v>816</v>
      </c>
      <c r="L226" s="5"/>
      <c r="M226" s="5" t="s">
        <v>392</v>
      </c>
      <c r="N226" s="5"/>
      <c r="O226" s="196"/>
      <c r="P226" s="302">
        <v>6630</v>
      </c>
      <c r="Q226" s="91"/>
      <c r="R226" s="91"/>
      <c r="S226" s="91"/>
      <c r="T226" s="91"/>
      <c r="U226" s="91"/>
      <c r="V226" s="99">
        <f t="shared" si="6"/>
        <v>6630</v>
      </c>
      <c r="W226" s="34"/>
      <c r="X226" s="34" t="s">
        <v>305</v>
      </c>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5"/>
    </row>
    <row r="227" spans="1:53" ht="15.75" customHeight="1" thickBot="1" x14ac:dyDescent="0.3">
      <c r="A227" s="24" t="s">
        <v>305</v>
      </c>
      <c r="B227" s="24" t="s">
        <v>306</v>
      </c>
      <c r="C227" s="24" t="s">
        <v>306</v>
      </c>
      <c r="D227" s="24" t="s">
        <v>306</v>
      </c>
      <c r="E227" s="24" t="s">
        <v>306</v>
      </c>
      <c r="F227" s="24" t="s">
        <v>306</v>
      </c>
      <c r="G227" s="24" t="s">
        <v>306</v>
      </c>
      <c r="H227" s="24" t="s">
        <v>306</v>
      </c>
      <c r="I227" s="192" t="s">
        <v>306</v>
      </c>
      <c r="J227" s="193" t="s">
        <v>975</v>
      </c>
      <c r="K227" s="5" t="s">
        <v>817</v>
      </c>
      <c r="L227" s="5"/>
      <c r="M227" s="5" t="s">
        <v>392</v>
      </c>
      <c r="N227" s="5"/>
      <c r="O227" s="196"/>
      <c r="P227" s="302">
        <v>11100</v>
      </c>
      <c r="Q227" s="91"/>
      <c r="R227" s="91"/>
      <c r="S227" s="91"/>
      <c r="T227" s="91"/>
      <c r="U227" s="91"/>
      <c r="V227" s="99">
        <f t="shared" si="6"/>
        <v>11100</v>
      </c>
      <c r="W227" s="34"/>
      <c r="X227" s="34" t="s">
        <v>305</v>
      </c>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5"/>
    </row>
    <row r="228" spans="1:53" ht="26.25" thickBot="1" x14ac:dyDescent="0.3">
      <c r="A228" s="24" t="s">
        <v>305</v>
      </c>
      <c r="B228" s="24" t="s">
        <v>306</v>
      </c>
      <c r="C228" s="24" t="s">
        <v>306</v>
      </c>
      <c r="D228" s="24" t="s">
        <v>306</v>
      </c>
      <c r="E228" s="24" t="s">
        <v>306</v>
      </c>
      <c r="F228" s="24" t="s">
        <v>306</v>
      </c>
      <c r="G228" s="24" t="s">
        <v>306</v>
      </c>
      <c r="H228" s="24" t="s">
        <v>306</v>
      </c>
      <c r="I228" s="192" t="s">
        <v>306</v>
      </c>
      <c r="J228" s="193" t="s">
        <v>975</v>
      </c>
      <c r="K228" s="5" t="s">
        <v>818</v>
      </c>
      <c r="L228" s="5"/>
      <c r="M228" s="5" t="s">
        <v>392</v>
      </c>
      <c r="N228" s="5"/>
      <c r="O228" s="196"/>
      <c r="P228" s="302">
        <v>8900</v>
      </c>
      <c r="Q228" s="91"/>
      <c r="R228" s="91"/>
      <c r="S228" s="91"/>
      <c r="T228" s="91"/>
      <c r="U228" s="91"/>
      <c r="V228" s="99">
        <f t="shared" si="6"/>
        <v>8900</v>
      </c>
      <c r="W228" s="34"/>
      <c r="X228" s="34" t="s">
        <v>305</v>
      </c>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5"/>
    </row>
    <row r="229" spans="1:53" ht="26.25" thickBot="1" x14ac:dyDescent="0.3">
      <c r="A229" s="24" t="s">
        <v>305</v>
      </c>
      <c r="B229" s="24" t="s">
        <v>306</v>
      </c>
      <c r="C229" s="24" t="s">
        <v>306</v>
      </c>
      <c r="D229" s="24" t="s">
        <v>306</v>
      </c>
      <c r="E229" s="24" t="s">
        <v>306</v>
      </c>
      <c r="F229" s="24" t="s">
        <v>306</v>
      </c>
      <c r="G229" s="24" t="s">
        <v>306</v>
      </c>
      <c r="H229" s="24" t="s">
        <v>306</v>
      </c>
      <c r="I229" s="192" t="s">
        <v>306</v>
      </c>
      <c r="J229" s="193" t="s">
        <v>975</v>
      </c>
      <c r="K229" s="5" t="s">
        <v>819</v>
      </c>
      <c r="L229" s="5"/>
      <c r="M229" s="5" t="s">
        <v>392</v>
      </c>
      <c r="N229" s="5"/>
      <c r="O229" s="196"/>
      <c r="P229" s="302">
        <v>9540</v>
      </c>
      <c r="Q229" s="91"/>
      <c r="R229" s="91"/>
      <c r="S229" s="91"/>
      <c r="T229" s="91"/>
      <c r="U229" s="91"/>
      <c r="V229" s="99">
        <f t="shared" si="6"/>
        <v>9540</v>
      </c>
      <c r="W229" s="34"/>
      <c r="X229" s="34" t="s">
        <v>305</v>
      </c>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5"/>
    </row>
    <row r="230" spans="1:53" ht="26.25" thickBot="1" x14ac:dyDescent="0.3">
      <c r="A230" s="24" t="s">
        <v>305</v>
      </c>
      <c r="B230" s="24" t="s">
        <v>306</v>
      </c>
      <c r="C230" s="24" t="s">
        <v>306</v>
      </c>
      <c r="D230" s="24" t="s">
        <v>306</v>
      </c>
      <c r="E230" s="24" t="s">
        <v>306</v>
      </c>
      <c r="F230" s="24" t="s">
        <v>306</v>
      </c>
      <c r="G230" s="24" t="s">
        <v>306</v>
      </c>
      <c r="H230" s="24" t="s">
        <v>306</v>
      </c>
      <c r="I230" s="192" t="s">
        <v>306</v>
      </c>
      <c r="J230" s="193" t="s">
        <v>975</v>
      </c>
      <c r="K230" s="5" t="s">
        <v>820</v>
      </c>
      <c r="L230" s="5"/>
      <c r="M230" s="5" t="s">
        <v>392</v>
      </c>
      <c r="N230" s="5"/>
      <c r="O230" s="196"/>
      <c r="P230" s="302">
        <v>9200</v>
      </c>
      <c r="Q230" s="91"/>
      <c r="R230" s="91"/>
      <c r="S230" s="91"/>
      <c r="T230" s="91"/>
      <c r="U230" s="91"/>
      <c r="V230" s="99">
        <f t="shared" si="6"/>
        <v>9200</v>
      </c>
      <c r="W230" s="34"/>
      <c r="X230" s="34" t="s">
        <v>305</v>
      </c>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5"/>
    </row>
    <row r="231" spans="1:53" ht="26.25" thickBot="1" x14ac:dyDescent="0.3">
      <c r="A231" s="24" t="s">
        <v>305</v>
      </c>
      <c r="B231" s="24" t="s">
        <v>306</v>
      </c>
      <c r="C231" s="24" t="s">
        <v>306</v>
      </c>
      <c r="D231" s="24" t="s">
        <v>306</v>
      </c>
      <c r="E231" s="24" t="s">
        <v>306</v>
      </c>
      <c r="F231" s="24" t="s">
        <v>306</v>
      </c>
      <c r="G231" s="24" t="s">
        <v>306</v>
      </c>
      <c r="H231" s="24" t="s">
        <v>306</v>
      </c>
      <c r="I231" s="192" t="s">
        <v>306</v>
      </c>
      <c r="J231" s="193" t="s">
        <v>975</v>
      </c>
      <c r="K231" s="5" t="s">
        <v>821</v>
      </c>
      <c r="L231" s="5"/>
      <c r="M231" s="5" t="s">
        <v>392</v>
      </c>
      <c r="N231" s="5"/>
      <c r="O231" s="196"/>
      <c r="P231" s="302">
        <v>8550</v>
      </c>
      <c r="Q231" s="91"/>
      <c r="R231" s="91"/>
      <c r="S231" s="91"/>
      <c r="T231" s="91"/>
      <c r="U231" s="91"/>
      <c r="V231" s="99">
        <f t="shared" si="6"/>
        <v>8550</v>
      </c>
      <c r="W231" s="34"/>
      <c r="X231" s="34" t="s">
        <v>305</v>
      </c>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5"/>
    </row>
    <row r="232" spans="1:53" ht="26.25" thickBot="1" x14ac:dyDescent="0.3">
      <c r="A232" s="24" t="s">
        <v>305</v>
      </c>
      <c r="B232" s="24" t="s">
        <v>306</v>
      </c>
      <c r="C232" s="24" t="s">
        <v>306</v>
      </c>
      <c r="D232" s="24" t="s">
        <v>306</v>
      </c>
      <c r="E232" s="24" t="s">
        <v>306</v>
      </c>
      <c r="F232" s="24" t="s">
        <v>306</v>
      </c>
      <c r="G232" s="24" t="s">
        <v>306</v>
      </c>
      <c r="H232" s="24" t="s">
        <v>306</v>
      </c>
      <c r="I232" s="192" t="s">
        <v>306</v>
      </c>
      <c r="J232" s="193" t="s">
        <v>975</v>
      </c>
      <c r="K232" s="5" t="s">
        <v>822</v>
      </c>
      <c r="L232" s="5"/>
      <c r="M232" s="5" t="s">
        <v>392</v>
      </c>
      <c r="N232" s="5"/>
      <c r="O232" s="196"/>
      <c r="P232" s="302">
        <v>7910</v>
      </c>
      <c r="Q232" s="91"/>
      <c r="R232" s="91"/>
      <c r="S232" s="91"/>
      <c r="T232" s="91"/>
      <c r="U232" s="91"/>
      <c r="V232" s="99">
        <f t="shared" si="6"/>
        <v>7910</v>
      </c>
      <c r="W232" s="34"/>
      <c r="X232" s="34" t="s">
        <v>305</v>
      </c>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5"/>
    </row>
    <row r="233" spans="1:53" ht="15.75" thickBot="1" x14ac:dyDescent="0.3">
      <c r="A233" s="24" t="s">
        <v>305</v>
      </c>
      <c r="B233" s="24" t="s">
        <v>306</v>
      </c>
      <c r="C233" s="24" t="s">
        <v>306</v>
      </c>
      <c r="D233" s="24" t="s">
        <v>306</v>
      </c>
      <c r="E233" s="24" t="s">
        <v>306</v>
      </c>
      <c r="F233" s="24" t="s">
        <v>306</v>
      </c>
      <c r="G233" s="24" t="s">
        <v>306</v>
      </c>
      <c r="H233" s="24" t="s">
        <v>306</v>
      </c>
      <c r="I233" s="192" t="s">
        <v>306</v>
      </c>
      <c r="J233" s="193" t="s">
        <v>975</v>
      </c>
      <c r="K233" s="5" t="s">
        <v>823</v>
      </c>
      <c r="L233" s="5"/>
      <c r="M233" s="5" t="s">
        <v>392</v>
      </c>
      <c r="N233" s="5"/>
      <c r="O233" s="196"/>
      <c r="P233" s="302">
        <v>7190</v>
      </c>
      <c r="Q233" s="91"/>
      <c r="R233" s="91"/>
      <c r="S233" s="91"/>
      <c r="T233" s="91"/>
      <c r="U233" s="91"/>
      <c r="V233" s="99">
        <f t="shared" si="6"/>
        <v>7190</v>
      </c>
      <c r="W233" s="34"/>
      <c r="X233" s="34" t="s">
        <v>305</v>
      </c>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5"/>
    </row>
    <row r="234" spans="1:53" ht="15.75" thickBot="1" x14ac:dyDescent="0.3">
      <c r="A234" s="24" t="s">
        <v>305</v>
      </c>
      <c r="B234" s="24" t="s">
        <v>306</v>
      </c>
      <c r="C234" s="24" t="s">
        <v>306</v>
      </c>
      <c r="D234" s="24" t="s">
        <v>306</v>
      </c>
      <c r="E234" s="24" t="s">
        <v>306</v>
      </c>
      <c r="F234" s="24" t="s">
        <v>306</v>
      </c>
      <c r="G234" s="24" t="s">
        <v>306</v>
      </c>
      <c r="H234" s="24" t="s">
        <v>306</v>
      </c>
      <c r="I234" s="192" t="s">
        <v>306</v>
      </c>
      <c r="J234" s="193" t="s">
        <v>975</v>
      </c>
      <c r="K234" s="5" t="s">
        <v>824</v>
      </c>
      <c r="L234" s="5"/>
      <c r="M234" s="5" t="s">
        <v>392</v>
      </c>
      <c r="N234" s="5"/>
      <c r="O234" s="196"/>
      <c r="P234" s="302">
        <v>9200</v>
      </c>
      <c r="Q234" s="91"/>
      <c r="R234" s="91"/>
      <c r="S234" s="91"/>
      <c r="T234" s="91"/>
      <c r="U234" s="91"/>
      <c r="V234" s="99">
        <f t="shared" si="6"/>
        <v>9200</v>
      </c>
      <c r="W234" s="34"/>
      <c r="X234" s="34" t="s">
        <v>305</v>
      </c>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5"/>
    </row>
    <row r="235" spans="1:53" ht="26.25" thickBot="1" x14ac:dyDescent="0.3">
      <c r="A235" s="24" t="s">
        <v>305</v>
      </c>
      <c r="B235" s="24" t="s">
        <v>306</v>
      </c>
      <c r="C235" s="24" t="s">
        <v>306</v>
      </c>
      <c r="D235" s="24" t="s">
        <v>306</v>
      </c>
      <c r="E235" s="24" t="s">
        <v>306</v>
      </c>
      <c r="F235" s="24" t="s">
        <v>306</v>
      </c>
      <c r="G235" s="24" t="s">
        <v>306</v>
      </c>
      <c r="H235" s="24" t="s">
        <v>306</v>
      </c>
      <c r="I235" s="192" t="s">
        <v>306</v>
      </c>
      <c r="J235" s="193" t="s">
        <v>975</v>
      </c>
      <c r="K235" s="5" t="s">
        <v>825</v>
      </c>
      <c r="L235" s="5"/>
      <c r="M235" s="5" t="s">
        <v>392</v>
      </c>
      <c r="N235" s="5"/>
      <c r="O235" s="196"/>
      <c r="P235" s="302">
        <v>23500</v>
      </c>
      <c r="Q235" s="91"/>
      <c r="R235" s="91"/>
      <c r="S235" s="91"/>
      <c r="T235" s="91"/>
      <c r="U235" s="91"/>
      <c r="V235" s="99">
        <f t="shared" si="6"/>
        <v>23500</v>
      </c>
      <c r="W235" s="34"/>
      <c r="X235" s="34" t="s">
        <v>305</v>
      </c>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5"/>
    </row>
    <row r="236" spans="1:53" ht="15.75" thickBot="1" x14ac:dyDescent="0.3">
      <c r="A236" s="24" t="s">
        <v>305</v>
      </c>
      <c r="B236" s="24" t="s">
        <v>306</v>
      </c>
      <c r="C236" s="24" t="s">
        <v>306</v>
      </c>
      <c r="D236" s="24" t="s">
        <v>306</v>
      </c>
      <c r="E236" s="24" t="s">
        <v>306</v>
      </c>
      <c r="F236" s="24" t="s">
        <v>306</v>
      </c>
      <c r="G236" s="24" t="s">
        <v>306</v>
      </c>
      <c r="H236" s="24" t="s">
        <v>306</v>
      </c>
      <c r="I236" s="192" t="s">
        <v>306</v>
      </c>
      <c r="J236" s="193" t="s">
        <v>975</v>
      </c>
      <c r="K236" s="5" t="s">
        <v>826</v>
      </c>
      <c r="L236" s="5"/>
      <c r="M236" s="5" t="s">
        <v>392</v>
      </c>
      <c r="N236" s="5"/>
      <c r="O236" s="196"/>
      <c r="P236" s="302">
        <v>16</v>
      </c>
      <c r="Q236" s="91"/>
      <c r="R236" s="91"/>
      <c r="S236" s="91"/>
      <c r="T236" s="91"/>
      <c r="U236" s="91"/>
      <c r="V236" s="99">
        <f t="shared" si="6"/>
        <v>16</v>
      </c>
      <c r="W236" s="34"/>
      <c r="X236" s="34" t="s">
        <v>305</v>
      </c>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5"/>
    </row>
    <row r="237" spans="1:53" ht="15.75" thickBot="1" x14ac:dyDescent="0.3">
      <c r="A237" s="24" t="s">
        <v>305</v>
      </c>
      <c r="B237" s="24" t="s">
        <v>306</v>
      </c>
      <c r="C237" s="24" t="s">
        <v>306</v>
      </c>
      <c r="D237" s="24" t="s">
        <v>306</v>
      </c>
      <c r="E237" s="24" t="s">
        <v>306</v>
      </c>
      <c r="F237" s="24" t="s">
        <v>306</v>
      </c>
      <c r="G237" s="24" t="s">
        <v>306</v>
      </c>
      <c r="H237" s="24" t="s">
        <v>306</v>
      </c>
      <c r="I237" s="192" t="s">
        <v>306</v>
      </c>
      <c r="J237" s="193" t="s">
        <v>975</v>
      </c>
      <c r="K237" s="5" t="s">
        <v>827</v>
      </c>
      <c r="L237" s="5"/>
      <c r="M237" s="5" t="s">
        <v>392</v>
      </c>
      <c r="N237" s="5"/>
      <c r="O237" s="196"/>
      <c r="P237" s="302">
        <v>4</v>
      </c>
      <c r="Q237" s="91"/>
      <c r="R237" s="91"/>
      <c r="S237" s="91"/>
      <c r="T237" s="91"/>
      <c r="U237" s="91"/>
      <c r="V237" s="99">
        <f t="shared" si="6"/>
        <v>4</v>
      </c>
      <c r="W237" s="34"/>
      <c r="X237" s="34" t="s">
        <v>305</v>
      </c>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5"/>
    </row>
    <row r="238" spans="1:53" ht="15.75" thickBot="1" x14ac:dyDescent="0.3">
      <c r="A238" s="24" t="s">
        <v>305</v>
      </c>
      <c r="B238" s="24" t="s">
        <v>306</v>
      </c>
      <c r="C238" s="24" t="s">
        <v>306</v>
      </c>
      <c r="D238" s="24" t="s">
        <v>306</v>
      </c>
      <c r="E238" s="24" t="s">
        <v>306</v>
      </c>
      <c r="F238" s="24" t="s">
        <v>306</v>
      </c>
      <c r="G238" s="24" t="s">
        <v>306</v>
      </c>
      <c r="H238" s="24" t="s">
        <v>306</v>
      </c>
      <c r="I238" s="192" t="s">
        <v>306</v>
      </c>
      <c r="J238" s="193" t="s">
        <v>975</v>
      </c>
      <c r="K238" s="5" t="s">
        <v>828</v>
      </c>
      <c r="L238" s="5"/>
      <c r="M238" s="5" t="s">
        <v>392</v>
      </c>
      <c r="N238" s="5"/>
      <c r="O238" s="196"/>
      <c r="P238" s="302">
        <v>1210</v>
      </c>
      <c r="Q238" s="91"/>
      <c r="R238" s="91"/>
      <c r="S238" s="91"/>
      <c r="T238" s="91"/>
      <c r="U238" s="91"/>
      <c r="V238" s="99">
        <f t="shared" si="6"/>
        <v>1210</v>
      </c>
      <c r="W238" s="34"/>
      <c r="X238" s="34" t="s">
        <v>305</v>
      </c>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5"/>
    </row>
    <row r="239" spans="1:53" ht="15.75" thickBot="1" x14ac:dyDescent="0.3">
      <c r="A239" s="24" t="s">
        <v>305</v>
      </c>
      <c r="B239" s="24" t="s">
        <v>306</v>
      </c>
      <c r="C239" s="24" t="s">
        <v>306</v>
      </c>
      <c r="D239" s="24" t="s">
        <v>306</v>
      </c>
      <c r="E239" s="24" t="s">
        <v>306</v>
      </c>
      <c r="F239" s="24" t="s">
        <v>306</v>
      </c>
      <c r="G239" s="24" t="s">
        <v>306</v>
      </c>
      <c r="H239" s="24" t="s">
        <v>306</v>
      </c>
      <c r="I239" s="192" t="s">
        <v>306</v>
      </c>
      <c r="J239" s="193" t="s">
        <v>975</v>
      </c>
      <c r="K239" s="5" t="s">
        <v>829</v>
      </c>
      <c r="L239" s="5"/>
      <c r="M239" s="5" t="s">
        <v>392</v>
      </c>
      <c r="N239" s="5"/>
      <c r="O239" s="196"/>
      <c r="P239" s="302">
        <v>1330</v>
      </c>
      <c r="Q239" s="91"/>
      <c r="R239" s="91"/>
      <c r="S239" s="91"/>
      <c r="T239" s="91"/>
      <c r="U239" s="91"/>
      <c r="V239" s="99">
        <f t="shared" si="6"/>
        <v>1330</v>
      </c>
      <c r="W239" s="34"/>
      <c r="X239" s="34" t="s">
        <v>305</v>
      </c>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5"/>
    </row>
    <row r="240" spans="1:53" ht="15.75" thickBot="1" x14ac:dyDescent="0.3">
      <c r="A240" s="24" t="s">
        <v>305</v>
      </c>
      <c r="B240" s="24" t="s">
        <v>306</v>
      </c>
      <c r="C240" s="24" t="s">
        <v>306</v>
      </c>
      <c r="D240" s="24" t="s">
        <v>306</v>
      </c>
      <c r="E240" s="24" t="s">
        <v>306</v>
      </c>
      <c r="F240" s="24" t="s">
        <v>306</v>
      </c>
      <c r="G240" s="24" t="s">
        <v>306</v>
      </c>
      <c r="H240" s="24" t="s">
        <v>306</v>
      </c>
      <c r="I240" s="192" t="s">
        <v>306</v>
      </c>
      <c r="J240" s="193" t="s">
        <v>975</v>
      </c>
      <c r="K240" s="5" t="s">
        <v>830</v>
      </c>
      <c r="L240" s="5"/>
      <c r="M240" s="5" t="s">
        <v>392</v>
      </c>
      <c r="N240" s="5"/>
      <c r="O240" s="196"/>
      <c r="P240" s="302">
        <v>716</v>
      </c>
      <c r="Q240" s="91"/>
      <c r="R240" s="91"/>
      <c r="S240" s="91"/>
      <c r="T240" s="91"/>
      <c r="U240" s="91"/>
      <c r="V240" s="99">
        <f t="shared" si="6"/>
        <v>716</v>
      </c>
      <c r="W240" s="34"/>
      <c r="X240" s="34" t="s">
        <v>305</v>
      </c>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5"/>
    </row>
    <row r="241" spans="1:53" ht="15.75" thickBot="1" x14ac:dyDescent="0.3">
      <c r="A241" s="24" t="s">
        <v>305</v>
      </c>
      <c r="B241" s="24" t="s">
        <v>306</v>
      </c>
      <c r="C241" s="24" t="s">
        <v>306</v>
      </c>
      <c r="D241" s="24" t="s">
        <v>306</v>
      </c>
      <c r="E241" s="24" t="s">
        <v>306</v>
      </c>
      <c r="F241" s="24" t="s">
        <v>306</v>
      </c>
      <c r="G241" s="24" t="s">
        <v>306</v>
      </c>
      <c r="H241" s="24" t="s">
        <v>306</v>
      </c>
      <c r="I241" s="192" t="s">
        <v>306</v>
      </c>
      <c r="J241" s="193" t="s">
        <v>975</v>
      </c>
      <c r="K241" s="5" t="s">
        <v>831</v>
      </c>
      <c r="L241" s="5"/>
      <c r="M241" s="5" t="s">
        <v>392</v>
      </c>
      <c r="N241" s="5"/>
      <c r="O241" s="196"/>
      <c r="P241" s="302">
        <v>804</v>
      </c>
      <c r="Q241" s="91"/>
      <c r="R241" s="91"/>
      <c r="S241" s="91"/>
      <c r="T241" s="91"/>
      <c r="U241" s="91"/>
      <c r="V241" s="99">
        <f t="shared" si="6"/>
        <v>804</v>
      </c>
      <c r="W241" s="34"/>
      <c r="X241" s="34" t="s">
        <v>305</v>
      </c>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5"/>
    </row>
    <row r="242" spans="1:53" ht="15.75" thickBot="1" x14ac:dyDescent="0.3">
      <c r="A242" s="24" t="s">
        <v>305</v>
      </c>
      <c r="B242" s="24" t="s">
        <v>306</v>
      </c>
      <c r="C242" s="24" t="s">
        <v>306</v>
      </c>
      <c r="D242" s="24" t="s">
        <v>306</v>
      </c>
      <c r="E242" s="24" t="s">
        <v>306</v>
      </c>
      <c r="F242" s="24" t="s">
        <v>306</v>
      </c>
      <c r="G242" s="24" t="s">
        <v>306</v>
      </c>
      <c r="H242" s="24" t="s">
        <v>306</v>
      </c>
      <c r="I242" s="192" t="s">
        <v>306</v>
      </c>
      <c r="J242" s="193" t="s">
        <v>975</v>
      </c>
      <c r="K242" s="5" t="s">
        <v>832</v>
      </c>
      <c r="L242" s="5"/>
      <c r="M242" s="5" t="s">
        <v>392</v>
      </c>
      <c r="N242" s="5"/>
      <c r="O242" s="196"/>
      <c r="P242" s="303">
        <v>16100</v>
      </c>
      <c r="Q242" s="91"/>
      <c r="R242" s="91"/>
      <c r="S242" s="91"/>
      <c r="T242" s="91"/>
      <c r="U242" s="91"/>
      <c r="V242" s="99">
        <f t="shared" si="6"/>
        <v>16100</v>
      </c>
      <c r="W242" s="34"/>
      <c r="X242" s="34" t="s">
        <v>305</v>
      </c>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5"/>
    </row>
    <row r="243" spans="1:53" ht="15.75" thickBot="1" x14ac:dyDescent="0.3">
      <c r="A243" s="24" t="s">
        <v>305</v>
      </c>
      <c r="B243" s="24" t="s">
        <v>306</v>
      </c>
      <c r="C243" s="24" t="s">
        <v>306</v>
      </c>
      <c r="D243" s="24" t="s">
        <v>306</v>
      </c>
      <c r="E243" s="24" t="s">
        <v>306</v>
      </c>
      <c r="F243" s="24" t="s">
        <v>306</v>
      </c>
      <c r="G243" s="24" t="s">
        <v>306</v>
      </c>
      <c r="H243" s="24" t="s">
        <v>306</v>
      </c>
      <c r="I243" s="192" t="s">
        <v>306</v>
      </c>
      <c r="J243" s="193" t="s">
        <v>975</v>
      </c>
      <c r="K243" s="5" t="s">
        <v>833</v>
      </c>
      <c r="L243" s="5"/>
      <c r="M243" s="5" t="s">
        <v>392</v>
      </c>
      <c r="N243" s="5"/>
      <c r="O243" s="5"/>
      <c r="P243" s="290">
        <v>1130</v>
      </c>
      <c r="Q243" s="91"/>
      <c r="R243" s="91"/>
      <c r="S243" s="91"/>
      <c r="T243" s="91"/>
      <c r="U243" s="91"/>
      <c r="V243" s="99">
        <f t="shared" si="6"/>
        <v>1130</v>
      </c>
      <c r="W243" s="34"/>
      <c r="X243" s="34" t="s">
        <v>305</v>
      </c>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5"/>
    </row>
    <row r="244" spans="1:53" ht="15.75" thickBot="1" x14ac:dyDescent="0.3">
      <c r="A244" s="24" t="s">
        <v>305</v>
      </c>
      <c r="B244" s="24" t="s">
        <v>306</v>
      </c>
      <c r="C244" s="24" t="s">
        <v>306</v>
      </c>
      <c r="D244" s="24" t="s">
        <v>306</v>
      </c>
      <c r="E244" s="24" t="s">
        <v>306</v>
      </c>
      <c r="F244" s="24" t="s">
        <v>306</v>
      </c>
      <c r="G244" s="24" t="s">
        <v>306</v>
      </c>
      <c r="H244" s="24" t="s">
        <v>306</v>
      </c>
      <c r="I244" s="192" t="s">
        <v>306</v>
      </c>
      <c r="J244" s="193" t="s">
        <v>975</v>
      </c>
      <c r="K244" s="5" t="s">
        <v>834</v>
      </c>
      <c r="L244" s="5"/>
      <c r="M244" s="5" t="s">
        <v>392</v>
      </c>
      <c r="N244" s="5"/>
      <c r="O244" s="5"/>
      <c r="P244" s="290">
        <v>1236</v>
      </c>
      <c r="Q244" s="91"/>
      <c r="R244" s="91"/>
      <c r="S244" s="91"/>
      <c r="T244" s="91"/>
      <c r="U244" s="91"/>
      <c r="V244" s="99">
        <f t="shared" si="6"/>
        <v>1236</v>
      </c>
      <c r="W244" s="34"/>
      <c r="X244" s="34" t="s">
        <v>305</v>
      </c>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5"/>
    </row>
    <row r="245" spans="1:53" ht="15.75" thickBot="1" x14ac:dyDescent="0.3">
      <c r="A245" s="24" t="s">
        <v>305</v>
      </c>
      <c r="B245" s="24" t="s">
        <v>306</v>
      </c>
      <c r="C245" s="24" t="s">
        <v>306</v>
      </c>
      <c r="D245" s="24" t="s">
        <v>306</v>
      </c>
      <c r="E245" s="24" t="s">
        <v>306</v>
      </c>
      <c r="F245" s="24" t="s">
        <v>306</v>
      </c>
      <c r="G245" s="24" t="s">
        <v>306</v>
      </c>
      <c r="H245" s="24" t="s">
        <v>306</v>
      </c>
      <c r="I245" s="192" t="s">
        <v>306</v>
      </c>
      <c r="J245" s="193" t="s">
        <v>975</v>
      </c>
      <c r="K245" s="5" t="s">
        <v>835</v>
      </c>
      <c r="L245" s="5"/>
      <c r="M245" s="5" t="s">
        <v>392</v>
      </c>
      <c r="N245" s="5"/>
      <c r="O245" s="5"/>
      <c r="P245" s="290">
        <v>876</v>
      </c>
      <c r="Q245" s="91"/>
      <c r="R245" s="91"/>
      <c r="S245" s="91"/>
      <c r="T245" s="91"/>
      <c r="U245" s="91"/>
      <c r="V245" s="99">
        <f t="shared" si="6"/>
        <v>876</v>
      </c>
      <c r="W245" s="34"/>
      <c r="X245" s="34" t="s">
        <v>305</v>
      </c>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5"/>
    </row>
    <row r="246" spans="1:53" ht="15.75" thickBot="1" x14ac:dyDescent="0.3">
      <c r="A246" s="24" t="s">
        <v>305</v>
      </c>
      <c r="B246" s="24" t="s">
        <v>306</v>
      </c>
      <c r="C246" s="24" t="s">
        <v>306</v>
      </c>
      <c r="D246" s="24" t="s">
        <v>306</v>
      </c>
      <c r="E246" s="24" t="s">
        <v>306</v>
      </c>
      <c r="F246" s="24" t="s">
        <v>306</v>
      </c>
      <c r="G246" s="24" t="s">
        <v>306</v>
      </c>
      <c r="H246" s="24" t="s">
        <v>306</v>
      </c>
      <c r="I246" s="192" t="s">
        <v>306</v>
      </c>
      <c r="J246" s="193" t="s">
        <v>975</v>
      </c>
      <c r="K246" s="5" t="s">
        <v>836</v>
      </c>
      <c r="L246" s="5"/>
      <c r="M246" s="5" t="s">
        <v>392</v>
      </c>
      <c r="N246" s="5"/>
      <c r="O246" s="5"/>
      <c r="P246" s="290">
        <v>2571</v>
      </c>
      <c r="Q246" s="91"/>
      <c r="R246" s="91"/>
      <c r="S246" s="91"/>
      <c r="T246" s="91"/>
      <c r="U246" s="91"/>
      <c r="V246" s="99">
        <f t="shared" si="6"/>
        <v>2571</v>
      </c>
      <c r="W246" s="34"/>
      <c r="X246" s="34" t="s">
        <v>305</v>
      </c>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5"/>
    </row>
    <row r="247" spans="1:53" ht="15.75" thickBot="1" x14ac:dyDescent="0.3">
      <c r="A247" s="24" t="s">
        <v>305</v>
      </c>
      <c r="B247" s="24" t="s">
        <v>306</v>
      </c>
      <c r="C247" s="24" t="s">
        <v>306</v>
      </c>
      <c r="D247" s="24" t="s">
        <v>306</v>
      </c>
      <c r="E247" s="24" t="s">
        <v>306</v>
      </c>
      <c r="F247" s="24" t="s">
        <v>306</v>
      </c>
      <c r="G247" s="24" t="s">
        <v>306</v>
      </c>
      <c r="H247" s="24" t="s">
        <v>306</v>
      </c>
      <c r="I247" s="192" t="s">
        <v>306</v>
      </c>
      <c r="J247" s="193" t="s">
        <v>975</v>
      </c>
      <c r="K247" s="5" t="s">
        <v>837</v>
      </c>
      <c r="L247" s="5"/>
      <c r="M247" s="5" t="s">
        <v>392</v>
      </c>
      <c r="N247" s="5"/>
      <c r="O247" s="5"/>
      <c r="P247" s="290">
        <v>2261</v>
      </c>
      <c r="Q247" s="91"/>
      <c r="R247" s="91"/>
      <c r="S247" s="91"/>
      <c r="T247" s="91"/>
      <c r="U247" s="91"/>
      <c r="V247" s="99">
        <f t="shared" si="6"/>
        <v>2261</v>
      </c>
      <c r="W247" s="34"/>
      <c r="X247" s="34" t="s">
        <v>305</v>
      </c>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5"/>
    </row>
    <row r="248" spans="1:53" ht="15.75" thickBot="1" x14ac:dyDescent="0.3">
      <c r="A248" s="24" t="s">
        <v>305</v>
      </c>
      <c r="B248" s="24" t="s">
        <v>306</v>
      </c>
      <c r="C248" s="24" t="s">
        <v>306</v>
      </c>
      <c r="D248" s="24" t="s">
        <v>306</v>
      </c>
      <c r="E248" s="24" t="s">
        <v>306</v>
      </c>
      <c r="F248" s="24" t="s">
        <v>306</v>
      </c>
      <c r="G248" s="24" t="s">
        <v>306</v>
      </c>
      <c r="H248" s="24" t="s">
        <v>306</v>
      </c>
      <c r="I248" s="192" t="s">
        <v>306</v>
      </c>
      <c r="J248" s="193" t="s">
        <v>975</v>
      </c>
      <c r="K248" s="5" t="s">
        <v>838</v>
      </c>
      <c r="L248" s="5"/>
      <c r="M248" s="5" t="s">
        <v>392</v>
      </c>
      <c r="N248" s="5"/>
      <c r="O248" s="5"/>
      <c r="P248" s="290">
        <v>3100</v>
      </c>
      <c r="Q248" s="91"/>
      <c r="R248" s="91"/>
      <c r="S248" s="91"/>
      <c r="T248" s="91"/>
      <c r="U248" s="91"/>
      <c r="V248" s="99">
        <f t="shared" si="6"/>
        <v>3100</v>
      </c>
      <c r="W248" s="34"/>
      <c r="X248" s="34" t="s">
        <v>305</v>
      </c>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5"/>
    </row>
    <row r="249" spans="1:53" ht="15.75" thickBot="1" x14ac:dyDescent="0.3">
      <c r="A249" s="24" t="s">
        <v>305</v>
      </c>
      <c r="B249" s="24" t="s">
        <v>306</v>
      </c>
      <c r="C249" s="24" t="s">
        <v>306</v>
      </c>
      <c r="D249" s="24" t="s">
        <v>306</v>
      </c>
      <c r="E249" s="24" t="s">
        <v>306</v>
      </c>
      <c r="F249" s="24" t="s">
        <v>306</v>
      </c>
      <c r="G249" s="24" t="s">
        <v>306</v>
      </c>
      <c r="H249" s="24" t="s">
        <v>306</v>
      </c>
      <c r="I249" s="192" t="s">
        <v>306</v>
      </c>
      <c r="J249" s="193" t="s">
        <v>975</v>
      </c>
      <c r="K249" s="5" t="s">
        <v>839</v>
      </c>
      <c r="L249" s="5"/>
      <c r="M249" s="5" t="s">
        <v>392</v>
      </c>
      <c r="N249" s="5"/>
      <c r="O249" s="5"/>
      <c r="P249" s="290">
        <v>4457</v>
      </c>
      <c r="Q249" s="91"/>
      <c r="R249" s="91"/>
      <c r="S249" s="91"/>
      <c r="T249" s="91"/>
      <c r="U249" s="91"/>
      <c r="V249" s="99">
        <f t="shared" si="6"/>
        <v>4457</v>
      </c>
      <c r="W249" s="34"/>
      <c r="X249" s="34" t="s">
        <v>305</v>
      </c>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5"/>
    </row>
    <row r="250" spans="1:53" ht="15.75" thickBot="1" x14ac:dyDescent="0.3">
      <c r="A250" s="24" t="s">
        <v>305</v>
      </c>
      <c r="B250" s="24" t="s">
        <v>306</v>
      </c>
      <c r="C250" s="24" t="s">
        <v>306</v>
      </c>
      <c r="D250" s="24" t="s">
        <v>306</v>
      </c>
      <c r="E250" s="24" t="s">
        <v>306</v>
      </c>
      <c r="F250" s="24" t="s">
        <v>306</v>
      </c>
      <c r="G250" s="24" t="s">
        <v>306</v>
      </c>
      <c r="H250" s="24" t="s">
        <v>306</v>
      </c>
      <c r="I250" s="192" t="s">
        <v>306</v>
      </c>
      <c r="J250" s="193" t="s">
        <v>975</v>
      </c>
      <c r="K250" s="5" t="s">
        <v>840</v>
      </c>
      <c r="L250" s="5"/>
      <c r="M250" s="5" t="s">
        <v>392</v>
      </c>
      <c r="N250" s="5"/>
      <c r="O250" s="5"/>
      <c r="P250" s="290">
        <v>3943</v>
      </c>
      <c r="Q250" s="91"/>
      <c r="R250" s="91"/>
      <c r="S250" s="91"/>
      <c r="T250" s="91"/>
      <c r="U250" s="91"/>
      <c r="V250" s="99">
        <f t="shared" si="6"/>
        <v>3943</v>
      </c>
      <c r="W250" s="34"/>
      <c r="X250" s="34" t="s">
        <v>305</v>
      </c>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5"/>
    </row>
    <row r="251" spans="1:53" ht="15.75" thickBot="1" x14ac:dyDescent="0.3">
      <c r="A251" s="24" t="s">
        <v>305</v>
      </c>
      <c r="B251" s="24" t="s">
        <v>306</v>
      </c>
      <c r="C251" s="24" t="s">
        <v>306</v>
      </c>
      <c r="D251" s="24" t="s">
        <v>306</v>
      </c>
      <c r="E251" s="24" t="s">
        <v>306</v>
      </c>
      <c r="F251" s="24" t="s">
        <v>306</v>
      </c>
      <c r="G251" s="24" t="s">
        <v>306</v>
      </c>
      <c r="H251" s="24" t="s">
        <v>306</v>
      </c>
      <c r="I251" s="192" t="s">
        <v>306</v>
      </c>
      <c r="J251" s="193" t="s">
        <v>975</v>
      </c>
      <c r="K251" s="5" t="s">
        <v>841</v>
      </c>
      <c r="L251" s="5"/>
      <c r="M251" s="5" t="s">
        <v>392</v>
      </c>
      <c r="N251" s="5"/>
      <c r="O251" s="5"/>
      <c r="P251" s="290">
        <v>4821</v>
      </c>
      <c r="Q251" s="91"/>
      <c r="R251" s="91"/>
      <c r="S251" s="91"/>
      <c r="T251" s="91"/>
      <c r="U251" s="91"/>
      <c r="V251" s="99">
        <f t="shared" si="6"/>
        <v>4821</v>
      </c>
      <c r="W251" s="34"/>
      <c r="X251" s="34" t="s">
        <v>305</v>
      </c>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5"/>
    </row>
    <row r="252" spans="1:53" ht="15.75" thickBot="1" x14ac:dyDescent="0.3">
      <c r="A252" s="24" t="s">
        <v>305</v>
      </c>
      <c r="B252" s="24" t="s">
        <v>306</v>
      </c>
      <c r="C252" s="24" t="s">
        <v>306</v>
      </c>
      <c r="D252" s="24" t="s">
        <v>306</v>
      </c>
      <c r="E252" s="24" t="s">
        <v>306</v>
      </c>
      <c r="F252" s="24" t="s">
        <v>306</v>
      </c>
      <c r="G252" s="24" t="s">
        <v>306</v>
      </c>
      <c r="H252" s="24" t="s">
        <v>306</v>
      </c>
      <c r="I252" s="192" t="s">
        <v>306</v>
      </c>
      <c r="J252" s="193" t="s">
        <v>975</v>
      </c>
      <c r="K252" s="5" t="s">
        <v>842</v>
      </c>
      <c r="L252" s="5"/>
      <c r="M252" s="5" t="s">
        <v>392</v>
      </c>
      <c r="N252" s="5"/>
      <c r="O252" s="5"/>
      <c r="P252" s="290">
        <v>1780</v>
      </c>
      <c r="Q252" s="91"/>
      <c r="R252" s="91"/>
      <c r="S252" s="91"/>
      <c r="T252" s="91"/>
      <c r="U252" s="91"/>
      <c r="V252" s="99">
        <f t="shared" si="6"/>
        <v>1780</v>
      </c>
      <c r="W252" s="34"/>
      <c r="X252" s="34" t="s">
        <v>305</v>
      </c>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5"/>
    </row>
    <row r="253" spans="1:53" ht="15.75" thickBot="1" x14ac:dyDescent="0.3">
      <c r="A253" s="24" t="s">
        <v>305</v>
      </c>
      <c r="B253" s="24" t="s">
        <v>306</v>
      </c>
      <c r="C253" s="24" t="s">
        <v>306</v>
      </c>
      <c r="D253" s="24" t="s">
        <v>306</v>
      </c>
      <c r="E253" s="24" t="s">
        <v>306</v>
      </c>
      <c r="F253" s="24" t="s">
        <v>306</v>
      </c>
      <c r="G253" s="24" t="s">
        <v>306</v>
      </c>
      <c r="H253" s="24" t="s">
        <v>306</v>
      </c>
      <c r="I253" s="192" t="s">
        <v>306</v>
      </c>
      <c r="J253" s="193" t="s">
        <v>975</v>
      </c>
      <c r="K253" s="5" t="s">
        <v>843</v>
      </c>
      <c r="L253" s="5"/>
      <c r="M253" s="5" t="s">
        <v>392</v>
      </c>
      <c r="N253" s="5"/>
      <c r="O253" s="5"/>
      <c r="P253" s="290">
        <v>1923</v>
      </c>
      <c r="Q253" s="91"/>
      <c r="R253" s="91"/>
      <c r="S253" s="91"/>
      <c r="T253" s="91"/>
      <c r="U253" s="91"/>
      <c r="V253" s="99">
        <f t="shared" si="6"/>
        <v>1923</v>
      </c>
      <c r="W253" s="34"/>
      <c r="X253" s="34" t="s">
        <v>305</v>
      </c>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5"/>
    </row>
    <row r="254" spans="1:53" ht="24.95" customHeight="1" thickBot="1" x14ac:dyDescent="0.3">
      <c r="A254" s="24" t="s">
        <v>305</v>
      </c>
      <c r="B254" s="24" t="s">
        <v>306</v>
      </c>
      <c r="C254" s="24" t="s">
        <v>306</v>
      </c>
      <c r="D254" s="24" t="s">
        <v>306</v>
      </c>
      <c r="E254" s="24" t="s">
        <v>306</v>
      </c>
      <c r="F254" s="24" t="s">
        <v>306</v>
      </c>
      <c r="G254" s="24" t="s">
        <v>306</v>
      </c>
      <c r="H254" s="24" t="s">
        <v>306</v>
      </c>
      <c r="I254" s="192" t="s">
        <v>306</v>
      </c>
      <c r="J254" s="193" t="s">
        <v>975</v>
      </c>
      <c r="K254" s="5" t="s">
        <v>844</v>
      </c>
      <c r="L254" s="5"/>
      <c r="M254" s="5" t="s">
        <v>392</v>
      </c>
      <c r="N254" s="5"/>
      <c r="O254" s="5"/>
      <c r="P254" s="290">
        <v>2547</v>
      </c>
      <c r="Q254" s="91"/>
      <c r="R254" s="91"/>
      <c r="S254" s="91"/>
      <c r="T254" s="91"/>
      <c r="U254" s="91"/>
      <c r="V254" s="99">
        <f t="shared" si="6"/>
        <v>2547</v>
      </c>
      <c r="W254" s="34"/>
      <c r="X254" s="34" t="s">
        <v>305</v>
      </c>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5"/>
    </row>
    <row r="255" spans="1:53" ht="28.5" customHeight="1" thickBot="1" x14ac:dyDescent="0.3">
      <c r="A255" s="24" t="s">
        <v>305</v>
      </c>
      <c r="B255" s="24" t="s">
        <v>306</v>
      </c>
      <c r="C255" s="24" t="s">
        <v>306</v>
      </c>
      <c r="D255" s="24" t="s">
        <v>306</v>
      </c>
      <c r="E255" s="24" t="s">
        <v>306</v>
      </c>
      <c r="F255" s="24" t="s">
        <v>306</v>
      </c>
      <c r="G255" s="24" t="s">
        <v>306</v>
      </c>
      <c r="H255" s="24" t="s">
        <v>306</v>
      </c>
      <c r="I255" s="192" t="s">
        <v>306</v>
      </c>
      <c r="J255" s="193" t="s">
        <v>975</v>
      </c>
      <c r="K255" s="5" t="s">
        <v>845</v>
      </c>
      <c r="L255" s="5"/>
      <c r="M255" s="5" t="s">
        <v>392</v>
      </c>
      <c r="N255" s="5"/>
      <c r="O255" s="5"/>
      <c r="P255" s="290">
        <v>1624</v>
      </c>
      <c r="Q255" s="91"/>
      <c r="R255" s="91"/>
      <c r="S255" s="91"/>
      <c r="T255" s="91"/>
      <c r="U255" s="91"/>
      <c r="V255" s="99">
        <f t="shared" si="6"/>
        <v>1624</v>
      </c>
      <c r="W255" s="34"/>
      <c r="X255" s="34" t="s">
        <v>305</v>
      </c>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5"/>
    </row>
    <row r="256" spans="1:53" ht="27" customHeight="1" thickBot="1" x14ac:dyDescent="0.3">
      <c r="A256" s="24" t="s">
        <v>305</v>
      </c>
      <c r="B256" s="24" t="s">
        <v>306</v>
      </c>
      <c r="C256" s="24" t="s">
        <v>306</v>
      </c>
      <c r="D256" s="24" t="s">
        <v>306</v>
      </c>
      <c r="E256" s="24" t="s">
        <v>306</v>
      </c>
      <c r="F256" s="24" t="s">
        <v>306</v>
      </c>
      <c r="G256" s="24" t="s">
        <v>306</v>
      </c>
      <c r="H256" s="24" t="s">
        <v>306</v>
      </c>
      <c r="I256" s="192" t="s">
        <v>306</v>
      </c>
      <c r="J256" s="193" t="s">
        <v>975</v>
      </c>
      <c r="K256" s="5" t="s">
        <v>846</v>
      </c>
      <c r="L256" s="5"/>
      <c r="M256" s="5" t="s">
        <v>392</v>
      </c>
      <c r="N256" s="5"/>
      <c r="O256" s="5"/>
      <c r="P256" s="290">
        <v>1487</v>
      </c>
      <c r="Q256" s="91"/>
      <c r="R256" s="91"/>
      <c r="S256" s="91"/>
      <c r="T256" s="91"/>
      <c r="U256" s="91"/>
      <c r="V256" s="99">
        <f t="shared" si="6"/>
        <v>1487</v>
      </c>
      <c r="W256" s="34"/>
      <c r="X256" s="34" t="s">
        <v>305</v>
      </c>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5"/>
    </row>
    <row r="257" spans="1:53" ht="15.75" thickBot="1" x14ac:dyDescent="0.3">
      <c r="A257" s="24" t="s">
        <v>305</v>
      </c>
      <c r="B257" s="24" t="s">
        <v>306</v>
      </c>
      <c r="C257" s="24" t="s">
        <v>306</v>
      </c>
      <c r="D257" s="24" t="s">
        <v>306</v>
      </c>
      <c r="E257" s="24" t="s">
        <v>306</v>
      </c>
      <c r="F257" s="24" t="s">
        <v>306</v>
      </c>
      <c r="G257" s="24" t="s">
        <v>306</v>
      </c>
      <c r="H257" s="24" t="s">
        <v>306</v>
      </c>
      <c r="I257" s="192" t="s">
        <v>306</v>
      </c>
      <c r="J257" s="193" t="s">
        <v>975</v>
      </c>
      <c r="K257" s="5" t="s">
        <v>847</v>
      </c>
      <c r="L257" s="5"/>
      <c r="M257" s="5" t="s">
        <v>392</v>
      </c>
      <c r="N257" s="5"/>
      <c r="O257" s="5"/>
      <c r="P257" s="290">
        <v>1425</v>
      </c>
      <c r="Q257" s="91"/>
      <c r="R257" s="91"/>
      <c r="S257" s="91"/>
      <c r="T257" s="91"/>
      <c r="U257" s="91"/>
      <c r="V257" s="99">
        <f t="shared" si="6"/>
        <v>1425</v>
      </c>
      <c r="W257" s="34"/>
      <c r="X257" s="34" t="s">
        <v>305</v>
      </c>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5"/>
    </row>
    <row r="258" spans="1:53" ht="15.75" thickBot="1" x14ac:dyDescent="0.3">
      <c r="A258" s="24" t="s">
        <v>305</v>
      </c>
      <c r="B258" s="24" t="s">
        <v>306</v>
      </c>
      <c r="C258" s="24" t="s">
        <v>306</v>
      </c>
      <c r="D258" s="24" t="s">
        <v>306</v>
      </c>
      <c r="E258" s="24" t="s">
        <v>306</v>
      </c>
      <c r="F258" s="24" t="s">
        <v>306</v>
      </c>
      <c r="G258" s="24" t="s">
        <v>306</v>
      </c>
      <c r="H258" s="24" t="s">
        <v>306</v>
      </c>
      <c r="I258" s="192" t="s">
        <v>306</v>
      </c>
      <c r="J258" s="193" t="s">
        <v>975</v>
      </c>
      <c r="K258" s="5" t="s">
        <v>848</v>
      </c>
      <c r="L258" s="5"/>
      <c r="M258" s="5" t="s">
        <v>392</v>
      </c>
      <c r="N258" s="5"/>
      <c r="O258" s="5"/>
      <c r="P258" s="290">
        <v>1674</v>
      </c>
      <c r="Q258" s="91"/>
      <c r="R258" s="91"/>
      <c r="S258" s="91"/>
      <c r="T258" s="91"/>
      <c r="U258" s="91"/>
      <c r="V258" s="99">
        <f t="shared" si="6"/>
        <v>1674</v>
      </c>
      <c r="W258" s="34"/>
      <c r="X258" s="34" t="s">
        <v>305</v>
      </c>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5"/>
    </row>
    <row r="259" spans="1:53" ht="15.75" thickBot="1" x14ac:dyDescent="0.3">
      <c r="A259" s="24" t="s">
        <v>305</v>
      </c>
      <c r="B259" s="24" t="s">
        <v>306</v>
      </c>
      <c r="C259" s="24" t="s">
        <v>306</v>
      </c>
      <c r="D259" s="24" t="s">
        <v>306</v>
      </c>
      <c r="E259" s="24" t="s">
        <v>306</v>
      </c>
      <c r="F259" s="24" t="s">
        <v>306</v>
      </c>
      <c r="G259" s="24" t="s">
        <v>306</v>
      </c>
      <c r="H259" s="24" t="s">
        <v>306</v>
      </c>
      <c r="I259" s="192" t="s">
        <v>306</v>
      </c>
      <c r="J259" s="193" t="s">
        <v>975</v>
      </c>
      <c r="K259" s="5" t="s">
        <v>849</v>
      </c>
      <c r="L259" s="5"/>
      <c r="M259" s="5" t="s">
        <v>392</v>
      </c>
      <c r="N259" s="5"/>
      <c r="O259" s="5"/>
      <c r="P259" s="290">
        <v>3257</v>
      </c>
      <c r="Q259" s="91"/>
      <c r="R259" s="91"/>
      <c r="S259" s="91"/>
      <c r="T259" s="91"/>
      <c r="U259" s="91"/>
      <c r="V259" s="99">
        <f t="shared" si="6"/>
        <v>3257</v>
      </c>
      <c r="W259" s="34"/>
      <c r="X259" s="34" t="s">
        <v>305</v>
      </c>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5"/>
    </row>
    <row r="260" spans="1:53" ht="15.75" thickBot="1" x14ac:dyDescent="0.3">
      <c r="A260" s="24" t="s">
        <v>305</v>
      </c>
      <c r="B260" s="24" t="s">
        <v>306</v>
      </c>
      <c r="C260" s="24" t="s">
        <v>306</v>
      </c>
      <c r="D260" s="24" t="s">
        <v>306</v>
      </c>
      <c r="E260" s="24" t="s">
        <v>306</v>
      </c>
      <c r="F260" s="24" t="s">
        <v>306</v>
      </c>
      <c r="G260" s="24" t="s">
        <v>306</v>
      </c>
      <c r="H260" s="24" t="s">
        <v>306</v>
      </c>
      <c r="I260" s="192" t="s">
        <v>306</v>
      </c>
      <c r="J260" s="193" t="s">
        <v>975</v>
      </c>
      <c r="K260" s="5" t="s">
        <v>850</v>
      </c>
      <c r="L260" s="5"/>
      <c r="M260" s="5" t="s">
        <v>392</v>
      </c>
      <c r="N260" s="5"/>
      <c r="O260" s="5"/>
      <c r="P260" s="290">
        <v>1485</v>
      </c>
      <c r="Q260" s="91"/>
      <c r="R260" s="91"/>
      <c r="S260" s="91"/>
      <c r="T260" s="91"/>
      <c r="U260" s="91"/>
      <c r="V260" s="99">
        <f t="shared" si="6"/>
        <v>1485</v>
      </c>
      <c r="W260" s="34"/>
      <c r="X260" s="34" t="s">
        <v>305</v>
      </c>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5"/>
    </row>
    <row r="261" spans="1:53" ht="15.75" thickBot="1" x14ac:dyDescent="0.3">
      <c r="A261" s="24" t="s">
        <v>305</v>
      </c>
      <c r="B261" s="24" t="s">
        <v>306</v>
      </c>
      <c r="C261" s="24" t="s">
        <v>306</v>
      </c>
      <c r="D261" s="24" t="s">
        <v>306</v>
      </c>
      <c r="E261" s="24" t="s">
        <v>306</v>
      </c>
      <c r="F261" s="24" t="s">
        <v>306</v>
      </c>
      <c r="G261" s="24" t="s">
        <v>306</v>
      </c>
      <c r="H261" s="24" t="s">
        <v>306</v>
      </c>
      <c r="I261" s="192" t="s">
        <v>306</v>
      </c>
      <c r="J261" s="193" t="s">
        <v>975</v>
      </c>
      <c r="K261" s="5" t="s">
        <v>851</v>
      </c>
      <c r="L261" s="5"/>
      <c r="M261" s="5" t="s">
        <v>392</v>
      </c>
      <c r="N261" s="5"/>
      <c r="O261" s="5"/>
      <c r="P261" s="290">
        <v>1474</v>
      </c>
      <c r="Q261" s="91"/>
      <c r="R261" s="91"/>
      <c r="S261" s="91"/>
      <c r="T261" s="91"/>
      <c r="U261" s="91"/>
      <c r="V261" s="99">
        <f t="shared" si="6"/>
        <v>1474</v>
      </c>
      <c r="W261" s="34"/>
      <c r="X261" s="34" t="s">
        <v>305</v>
      </c>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5"/>
    </row>
    <row r="262" spans="1:53" ht="15.75" thickBot="1" x14ac:dyDescent="0.3">
      <c r="A262" s="24" t="s">
        <v>305</v>
      </c>
      <c r="B262" s="24" t="s">
        <v>306</v>
      </c>
      <c r="C262" s="24" t="s">
        <v>306</v>
      </c>
      <c r="D262" s="24" t="s">
        <v>306</v>
      </c>
      <c r="E262" s="24" t="s">
        <v>306</v>
      </c>
      <c r="F262" s="24" t="s">
        <v>306</v>
      </c>
      <c r="G262" s="24" t="s">
        <v>306</v>
      </c>
      <c r="H262" s="24" t="s">
        <v>306</v>
      </c>
      <c r="I262" s="192" t="s">
        <v>306</v>
      </c>
      <c r="J262" s="193" t="s">
        <v>975</v>
      </c>
      <c r="K262" s="5" t="s">
        <v>852</v>
      </c>
      <c r="L262" s="5"/>
      <c r="M262" s="5" t="s">
        <v>392</v>
      </c>
      <c r="N262" s="5"/>
      <c r="O262" s="5"/>
      <c r="P262" s="290">
        <v>1924</v>
      </c>
      <c r="Q262" s="91"/>
      <c r="R262" s="91"/>
      <c r="S262" s="91"/>
      <c r="T262" s="91"/>
      <c r="U262" s="91"/>
      <c r="V262" s="99">
        <f t="shared" si="6"/>
        <v>1924</v>
      </c>
      <c r="W262" s="34"/>
      <c r="X262" s="34" t="s">
        <v>305</v>
      </c>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5"/>
    </row>
    <row r="263" spans="1:53" ht="15.75" thickBot="1" x14ac:dyDescent="0.3">
      <c r="A263" s="24" t="s">
        <v>305</v>
      </c>
      <c r="B263" s="24" t="s">
        <v>306</v>
      </c>
      <c r="C263" s="24" t="s">
        <v>306</v>
      </c>
      <c r="D263" s="24" t="s">
        <v>306</v>
      </c>
      <c r="E263" s="24" t="s">
        <v>306</v>
      </c>
      <c r="F263" s="24" t="s">
        <v>306</v>
      </c>
      <c r="G263" s="24" t="s">
        <v>306</v>
      </c>
      <c r="H263" s="24" t="s">
        <v>306</v>
      </c>
      <c r="I263" s="192" t="s">
        <v>306</v>
      </c>
      <c r="J263" s="193" t="s">
        <v>975</v>
      </c>
      <c r="K263" s="5" t="s">
        <v>853</v>
      </c>
      <c r="L263" s="5"/>
      <c r="M263" s="5" t="s">
        <v>392</v>
      </c>
      <c r="N263" s="5"/>
      <c r="O263" s="5"/>
      <c r="P263" s="290">
        <v>2048</v>
      </c>
      <c r="Q263" s="91"/>
      <c r="R263" s="91"/>
      <c r="S263" s="91"/>
      <c r="T263" s="91"/>
      <c r="U263" s="91"/>
      <c r="V263" s="99">
        <f t="shared" si="6"/>
        <v>2048</v>
      </c>
      <c r="W263" s="34"/>
      <c r="X263" s="34" t="s">
        <v>305</v>
      </c>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5"/>
    </row>
    <row r="264" spans="1:53" ht="15.75" thickBot="1" x14ac:dyDescent="0.3">
      <c r="A264" s="24" t="s">
        <v>305</v>
      </c>
      <c r="B264" s="24" t="s">
        <v>306</v>
      </c>
      <c r="C264" s="24" t="s">
        <v>306</v>
      </c>
      <c r="D264" s="24" t="s">
        <v>306</v>
      </c>
      <c r="E264" s="24" t="s">
        <v>306</v>
      </c>
      <c r="F264" s="24" t="s">
        <v>306</v>
      </c>
      <c r="G264" s="24" t="s">
        <v>306</v>
      </c>
      <c r="H264" s="24" t="s">
        <v>306</v>
      </c>
      <c r="I264" s="192" t="s">
        <v>306</v>
      </c>
      <c r="J264" s="193" t="s">
        <v>975</v>
      </c>
      <c r="K264" s="5" t="s">
        <v>854</v>
      </c>
      <c r="L264" s="5"/>
      <c r="M264" s="5" t="s">
        <v>392</v>
      </c>
      <c r="N264" s="5"/>
      <c r="O264" s="5"/>
      <c r="P264" s="290">
        <v>1555</v>
      </c>
      <c r="Q264" s="91"/>
      <c r="R264" s="91"/>
      <c r="S264" s="91"/>
      <c r="T264" s="91"/>
      <c r="U264" s="91"/>
      <c r="V264" s="99">
        <f t="shared" si="6"/>
        <v>1555</v>
      </c>
      <c r="W264" s="34"/>
      <c r="X264" s="34" t="s">
        <v>305</v>
      </c>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5"/>
    </row>
    <row r="265" spans="1:53" ht="15.75" thickBot="1" x14ac:dyDescent="0.3">
      <c r="A265" s="24" t="s">
        <v>305</v>
      </c>
      <c r="B265" s="24" t="s">
        <v>306</v>
      </c>
      <c r="C265" s="24" t="s">
        <v>306</v>
      </c>
      <c r="D265" s="24" t="s">
        <v>306</v>
      </c>
      <c r="E265" s="24" t="s">
        <v>306</v>
      </c>
      <c r="F265" s="24" t="s">
        <v>306</v>
      </c>
      <c r="G265" s="24" t="s">
        <v>306</v>
      </c>
      <c r="H265" s="24" t="s">
        <v>306</v>
      </c>
      <c r="I265" s="192" t="s">
        <v>306</v>
      </c>
      <c r="J265" s="193" t="s">
        <v>975</v>
      </c>
      <c r="K265" s="5" t="s">
        <v>855</v>
      </c>
      <c r="L265" s="5"/>
      <c r="M265" s="5" t="s">
        <v>392</v>
      </c>
      <c r="N265" s="5"/>
      <c r="O265" s="5"/>
      <c r="P265" s="290">
        <v>1659</v>
      </c>
      <c r="Q265" s="91"/>
      <c r="R265" s="91"/>
      <c r="S265" s="91"/>
      <c r="T265" s="91"/>
      <c r="U265" s="91"/>
      <c r="V265" s="99">
        <f t="shared" si="6"/>
        <v>1659</v>
      </c>
      <c r="W265" s="34"/>
      <c r="X265" s="34" t="s">
        <v>305</v>
      </c>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5"/>
    </row>
    <row r="266" spans="1:53" ht="15.75" thickBot="1" x14ac:dyDescent="0.3">
      <c r="A266" s="24" t="s">
        <v>305</v>
      </c>
      <c r="B266" s="24" t="s">
        <v>306</v>
      </c>
      <c r="C266" s="24" t="s">
        <v>306</v>
      </c>
      <c r="D266" s="24" t="s">
        <v>306</v>
      </c>
      <c r="E266" s="24" t="s">
        <v>306</v>
      </c>
      <c r="F266" s="24" t="s">
        <v>306</v>
      </c>
      <c r="G266" s="24" t="s">
        <v>306</v>
      </c>
      <c r="H266" s="24" t="s">
        <v>306</v>
      </c>
      <c r="I266" s="192" t="s">
        <v>306</v>
      </c>
      <c r="J266" s="193" t="s">
        <v>975</v>
      </c>
      <c r="K266" s="5" t="s">
        <v>856</v>
      </c>
      <c r="L266" s="5"/>
      <c r="M266" s="5" t="s">
        <v>392</v>
      </c>
      <c r="N266" s="5"/>
      <c r="O266" s="5"/>
      <c r="P266" s="290">
        <v>2172</v>
      </c>
      <c r="Q266" s="91"/>
      <c r="R266" s="91"/>
      <c r="S266" s="91"/>
      <c r="T266" s="91"/>
      <c r="U266" s="91"/>
      <c r="V266" s="99">
        <f t="shared" si="6"/>
        <v>2172</v>
      </c>
      <c r="W266" s="34"/>
      <c r="X266" s="34" t="s">
        <v>305</v>
      </c>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5"/>
    </row>
    <row r="267" spans="1:53" ht="15.75" thickBot="1" x14ac:dyDescent="0.3">
      <c r="A267" s="24" t="s">
        <v>305</v>
      </c>
      <c r="B267" s="24" t="s">
        <v>306</v>
      </c>
      <c r="C267" s="24" t="s">
        <v>306</v>
      </c>
      <c r="D267" s="24" t="s">
        <v>306</v>
      </c>
      <c r="E267" s="24" t="s">
        <v>306</v>
      </c>
      <c r="F267" s="24" t="s">
        <v>306</v>
      </c>
      <c r="G267" s="24" t="s">
        <v>306</v>
      </c>
      <c r="H267" s="24" t="s">
        <v>306</v>
      </c>
      <c r="I267" s="192" t="s">
        <v>306</v>
      </c>
      <c r="J267" s="193" t="s">
        <v>975</v>
      </c>
      <c r="K267" s="5" t="s">
        <v>857</v>
      </c>
      <c r="L267" s="5"/>
      <c r="M267" s="5" t="s">
        <v>392</v>
      </c>
      <c r="N267" s="5"/>
      <c r="O267" s="5"/>
      <c r="P267" s="290">
        <v>1945</v>
      </c>
      <c r="Q267" s="91"/>
      <c r="R267" s="91"/>
      <c r="S267" s="91"/>
      <c r="T267" s="91"/>
      <c r="U267" s="91"/>
      <c r="V267" s="99">
        <f t="shared" si="6"/>
        <v>1945</v>
      </c>
      <c r="W267" s="34"/>
      <c r="X267" s="34" t="s">
        <v>305</v>
      </c>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5"/>
    </row>
    <row r="268" spans="1:53" ht="15.75" thickBot="1" x14ac:dyDescent="0.3">
      <c r="A268" s="24" t="s">
        <v>305</v>
      </c>
      <c r="B268" s="24" t="s">
        <v>306</v>
      </c>
      <c r="C268" s="24" t="s">
        <v>306</v>
      </c>
      <c r="D268" s="24" t="s">
        <v>306</v>
      </c>
      <c r="E268" s="24" t="s">
        <v>306</v>
      </c>
      <c r="F268" s="24" t="s">
        <v>306</v>
      </c>
      <c r="G268" s="24" t="s">
        <v>306</v>
      </c>
      <c r="H268" s="24" t="s">
        <v>306</v>
      </c>
      <c r="I268" s="192" t="s">
        <v>306</v>
      </c>
      <c r="J268" s="193" t="s">
        <v>975</v>
      </c>
      <c r="K268" s="5" t="s">
        <v>858</v>
      </c>
      <c r="L268" s="5"/>
      <c r="M268" s="5" t="s">
        <v>392</v>
      </c>
      <c r="N268" s="5"/>
      <c r="O268" s="5"/>
      <c r="P268" s="290">
        <v>1375</v>
      </c>
      <c r="Q268" s="91"/>
      <c r="R268" s="91"/>
      <c r="S268" s="91"/>
      <c r="T268" s="91"/>
      <c r="U268" s="91"/>
      <c r="V268" s="99">
        <f t="shared" si="6"/>
        <v>1375</v>
      </c>
      <c r="W268" s="34"/>
      <c r="X268" s="34" t="s">
        <v>305</v>
      </c>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5"/>
    </row>
    <row r="269" spans="1:53" ht="15.75" thickBot="1" x14ac:dyDescent="0.3">
      <c r="A269" s="24" t="s">
        <v>305</v>
      </c>
      <c r="B269" s="24" t="s">
        <v>306</v>
      </c>
      <c r="C269" s="24" t="s">
        <v>306</v>
      </c>
      <c r="D269" s="24" t="s">
        <v>306</v>
      </c>
      <c r="E269" s="24" t="s">
        <v>306</v>
      </c>
      <c r="F269" s="24" t="s">
        <v>306</v>
      </c>
      <c r="G269" s="24" t="s">
        <v>306</v>
      </c>
      <c r="H269" s="24" t="s">
        <v>306</v>
      </c>
      <c r="I269" s="192" t="s">
        <v>306</v>
      </c>
      <c r="J269" s="193" t="s">
        <v>975</v>
      </c>
      <c r="K269" s="5" t="s">
        <v>859</v>
      </c>
      <c r="L269" s="5"/>
      <c r="M269" s="5" t="s">
        <v>392</v>
      </c>
      <c r="N269" s="5"/>
      <c r="O269" s="5"/>
      <c r="P269" s="290">
        <v>1274</v>
      </c>
      <c r="Q269" s="91"/>
      <c r="R269" s="91"/>
      <c r="S269" s="91"/>
      <c r="T269" s="91"/>
      <c r="U269" s="91"/>
      <c r="V269" s="99">
        <f t="shared" si="6"/>
        <v>1274</v>
      </c>
      <c r="W269" s="34"/>
      <c r="X269" s="34" t="s">
        <v>305</v>
      </c>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5"/>
    </row>
    <row r="270" spans="1:53" ht="15.75" thickBot="1" x14ac:dyDescent="0.3">
      <c r="A270" s="24" t="s">
        <v>305</v>
      </c>
      <c r="B270" s="24" t="s">
        <v>306</v>
      </c>
      <c r="C270" s="24" t="s">
        <v>306</v>
      </c>
      <c r="D270" s="24" t="s">
        <v>306</v>
      </c>
      <c r="E270" s="24" t="s">
        <v>306</v>
      </c>
      <c r="F270" s="24" t="s">
        <v>306</v>
      </c>
      <c r="G270" s="24" t="s">
        <v>306</v>
      </c>
      <c r="H270" s="24" t="s">
        <v>306</v>
      </c>
      <c r="I270" s="192" t="s">
        <v>306</v>
      </c>
      <c r="J270" s="193" t="s">
        <v>975</v>
      </c>
      <c r="K270" s="5" t="s">
        <v>860</v>
      </c>
      <c r="L270" s="5"/>
      <c r="M270" s="5" t="s">
        <v>392</v>
      </c>
      <c r="N270" s="5"/>
      <c r="O270" s="5"/>
      <c r="P270" s="290">
        <v>1468</v>
      </c>
      <c r="Q270" s="91"/>
      <c r="R270" s="91"/>
      <c r="S270" s="91"/>
      <c r="T270" s="91"/>
      <c r="U270" s="91"/>
      <c r="V270" s="99">
        <f t="shared" si="6"/>
        <v>1468</v>
      </c>
      <c r="W270" s="34"/>
      <c r="X270" s="34" t="s">
        <v>305</v>
      </c>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c r="AW270" s="34"/>
      <c r="AX270" s="34"/>
      <c r="AY270" s="34"/>
      <c r="AZ270" s="34"/>
      <c r="BA270" s="5"/>
    </row>
    <row r="271" spans="1:53" ht="15.75" thickBot="1" x14ac:dyDescent="0.3">
      <c r="A271" s="24" t="s">
        <v>305</v>
      </c>
      <c r="B271" s="24" t="s">
        <v>306</v>
      </c>
      <c r="C271" s="24" t="s">
        <v>306</v>
      </c>
      <c r="D271" s="24" t="s">
        <v>306</v>
      </c>
      <c r="E271" s="24" t="s">
        <v>306</v>
      </c>
      <c r="F271" s="24" t="s">
        <v>306</v>
      </c>
      <c r="G271" s="24" t="s">
        <v>306</v>
      </c>
      <c r="H271" s="24" t="s">
        <v>306</v>
      </c>
      <c r="I271" s="192" t="s">
        <v>306</v>
      </c>
      <c r="J271" s="193" t="s">
        <v>975</v>
      </c>
      <c r="K271" s="5" t="s">
        <v>861</v>
      </c>
      <c r="L271" s="5"/>
      <c r="M271" s="5" t="s">
        <v>392</v>
      </c>
      <c r="N271" s="5"/>
      <c r="O271" s="5"/>
      <c r="P271" s="290">
        <v>544</v>
      </c>
      <c r="Q271" s="91"/>
      <c r="R271" s="91"/>
      <c r="S271" s="91"/>
      <c r="T271" s="91"/>
      <c r="U271" s="91"/>
      <c r="V271" s="99">
        <f t="shared" si="6"/>
        <v>544</v>
      </c>
      <c r="W271" s="34"/>
      <c r="X271" s="34" t="s">
        <v>305</v>
      </c>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c r="AW271" s="34"/>
      <c r="AX271" s="34"/>
      <c r="AY271" s="34"/>
      <c r="AZ271" s="34"/>
      <c r="BA271" s="5"/>
    </row>
    <row r="272" spans="1:53" ht="15.75" thickBot="1" x14ac:dyDescent="0.3">
      <c r="A272" s="24" t="s">
        <v>305</v>
      </c>
      <c r="B272" s="24" t="s">
        <v>306</v>
      </c>
      <c r="C272" s="24" t="s">
        <v>306</v>
      </c>
      <c r="D272" s="24" t="s">
        <v>306</v>
      </c>
      <c r="E272" s="24" t="s">
        <v>306</v>
      </c>
      <c r="F272" s="24" t="s">
        <v>306</v>
      </c>
      <c r="G272" s="24" t="s">
        <v>306</v>
      </c>
      <c r="H272" s="24" t="s">
        <v>306</v>
      </c>
      <c r="I272" s="192" t="s">
        <v>306</v>
      </c>
      <c r="J272" s="193" t="s">
        <v>975</v>
      </c>
      <c r="K272" s="5" t="s">
        <v>862</v>
      </c>
      <c r="L272" s="5"/>
      <c r="M272" s="5" t="s">
        <v>392</v>
      </c>
      <c r="N272" s="5"/>
      <c r="O272" s="5"/>
      <c r="P272" s="290">
        <v>975</v>
      </c>
      <c r="Q272" s="91"/>
      <c r="R272" s="91"/>
      <c r="S272" s="91"/>
      <c r="T272" s="91"/>
      <c r="U272" s="91"/>
      <c r="V272" s="99">
        <f t="shared" si="6"/>
        <v>975</v>
      </c>
      <c r="W272" s="34"/>
      <c r="X272" s="34" t="s">
        <v>305</v>
      </c>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34"/>
      <c r="AY272" s="34"/>
      <c r="AZ272" s="34"/>
      <c r="BA272" s="5"/>
    </row>
    <row r="273" spans="1:53" ht="15.75" thickBot="1" x14ac:dyDescent="0.3">
      <c r="A273" s="24" t="s">
        <v>305</v>
      </c>
      <c r="B273" s="24" t="s">
        <v>306</v>
      </c>
      <c r="C273" s="24" t="s">
        <v>306</v>
      </c>
      <c r="D273" s="24" t="s">
        <v>306</v>
      </c>
      <c r="E273" s="24" t="s">
        <v>306</v>
      </c>
      <c r="F273" s="24" t="s">
        <v>306</v>
      </c>
      <c r="G273" s="24" t="s">
        <v>306</v>
      </c>
      <c r="H273" s="24" t="s">
        <v>306</v>
      </c>
      <c r="I273" s="192" t="s">
        <v>306</v>
      </c>
      <c r="J273" s="193" t="s">
        <v>975</v>
      </c>
      <c r="K273" s="5" t="s">
        <v>863</v>
      </c>
      <c r="L273" s="5"/>
      <c r="M273" s="5" t="s">
        <v>392</v>
      </c>
      <c r="N273" s="5"/>
      <c r="O273" s="5"/>
      <c r="P273" s="290">
        <v>2127</v>
      </c>
      <c r="Q273" s="91"/>
      <c r="R273" s="91"/>
      <c r="S273" s="91"/>
      <c r="T273" s="91"/>
      <c r="U273" s="91"/>
      <c r="V273" s="99">
        <f t="shared" si="6"/>
        <v>2127</v>
      </c>
      <c r="W273" s="34"/>
      <c r="X273" s="34" t="s">
        <v>305</v>
      </c>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34"/>
      <c r="AY273" s="34"/>
      <c r="AZ273" s="34"/>
      <c r="BA273" s="5"/>
    </row>
    <row r="274" spans="1:53" ht="15.75" thickBot="1" x14ac:dyDescent="0.3">
      <c r="A274" s="24" t="s">
        <v>305</v>
      </c>
      <c r="B274" s="24" t="s">
        <v>306</v>
      </c>
      <c r="C274" s="24" t="s">
        <v>306</v>
      </c>
      <c r="D274" s="24" t="s">
        <v>306</v>
      </c>
      <c r="E274" s="24" t="s">
        <v>306</v>
      </c>
      <c r="F274" s="24" t="s">
        <v>306</v>
      </c>
      <c r="G274" s="24" t="s">
        <v>306</v>
      </c>
      <c r="H274" s="24" t="s">
        <v>306</v>
      </c>
      <c r="I274" s="192" t="s">
        <v>306</v>
      </c>
      <c r="J274" s="193" t="s">
        <v>975</v>
      </c>
      <c r="K274" s="5" t="s">
        <v>864</v>
      </c>
      <c r="L274" s="5"/>
      <c r="M274" s="5" t="s">
        <v>392</v>
      </c>
      <c r="N274" s="5"/>
      <c r="O274" s="5"/>
      <c r="P274" s="290">
        <v>2742</v>
      </c>
      <c r="Q274" s="91"/>
      <c r="R274" s="91"/>
      <c r="S274" s="91"/>
      <c r="T274" s="91"/>
      <c r="U274" s="91"/>
      <c r="V274" s="99">
        <f t="shared" ref="V274:V337" si="7">ROUND(SUM(P274:U274),3)</f>
        <v>2742</v>
      </c>
      <c r="W274" s="34"/>
      <c r="X274" s="34" t="s">
        <v>305</v>
      </c>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c r="AX274" s="34"/>
      <c r="AY274" s="34"/>
      <c r="AZ274" s="34"/>
      <c r="BA274" s="5"/>
    </row>
    <row r="275" spans="1:53" ht="15.75" thickBot="1" x14ac:dyDescent="0.3">
      <c r="A275" s="24" t="s">
        <v>305</v>
      </c>
      <c r="B275" s="24" t="s">
        <v>306</v>
      </c>
      <c r="C275" s="24" t="s">
        <v>306</v>
      </c>
      <c r="D275" s="24" t="s">
        <v>306</v>
      </c>
      <c r="E275" s="24" t="s">
        <v>306</v>
      </c>
      <c r="F275" s="24" t="s">
        <v>306</v>
      </c>
      <c r="G275" s="24" t="s">
        <v>306</v>
      </c>
      <c r="H275" s="24" t="s">
        <v>306</v>
      </c>
      <c r="I275" s="192" t="s">
        <v>306</v>
      </c>
      <c r="J275" s="193" t="s">
        <v>975</v>
      </c>
      <c r="K275" s="5" t="s">
        <v>865</v>
      </c>
      <c r="L275" s="5"/>
      <c r="M275" s="5" t="s">
        <v>392</v>
      </c>
      <c r="N275" s="5"/>
      <c r="O275" s="5"/>
      <c r="P275" s="290">
        <v>1643</v>
      </c>
      <c r="Q275" s="91"/>
      <c r="R275" s="91"/>
      <c r="S275" s="91"/>
      <c r="T275" s="91"/>
      <c r="U275" s="91"/>
      <c r="V275" s="99">
        <f t="shared" si="7"/>
        <v>1643</v>
      </c>
      <c r="W275" s="34"/>
      <c r="X275" s="34" t="s">
        <v>305</v>
      </c>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c r="AX275" s="34"/>
      <c r="AY275" s="34"/>
      <c r="AZ275" s="34"/>
      <c r="BA275" s="5"/>
    </row>
    <row r="276" spans="1:53" ht="15.75" thickBot="1" x14ac:dyDescent="0.3">
      <c r="A276" s="24" t="s">
        <v>305</v>
      </c>
      <c r="B276" s="24" t="s">
        <v>306</v>
      </c>
      <c r="C276" s="24" t="s">
        <v>306</v>
      </c>
      <c r="D276" s="24" t="s">
        <v>306</v>
      </c>
      <c r="E276" s="24" t="s">
        <v>306</v>
      </c>
      <c r="F276" s="24" t="s">
        <v>306</v>
      </c>
      <c r="G276" s="24" t="s">
        <v>306</v>
      </c>
      <c r="H276" s="24" t="s">
        <v>306</v>
      </c>
      <c r="I276" s="192" t="s">
        <v>306</v>
      </c>
      <c r="J276" s="193" t="s">
        <v>975</v>
      </c>
      <c r="K276" s="5" t="s">
        <v>866</v>
      </c>
      <c r="L276" s="5"/>
      <c r="M276" s="5" t="s">
        <v>392</v>
      </c>
      <c r="N276" s="5"/>
      <c r="O276" s="5"/>
      <c r="P276" s="290">
        <v>1693</v>
      </c>
      <c r="Q276" s="91"/>
      <c r="R276" s="91"/>
      <c r="S276" s="91"/>
      <c r="T276" s="91"/>
      <c r="U276" s="91"/>
      <c r="V276" s="99">
        <f t="shared" si="7"/>
        <v>1693</v>
      </c>
      <c r="W276" s="34"/>
      <c r="X276" s="34" t="s">
        <v>305</v>
      </c>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c r="AX276" s="34"/>
      <c r="AY276" s="34"/>
      <c r="AZ276" s="34"/>
      <c r="BA276" s="5"/>
    </row>
    <row r="277" spans="1:53" ht="15.75" thickBot="1" x14ac:dyDescent="0.3">
      <c r="A277" s="24" t="s">
        <v>305</v>
      </c>
      <c r="B277" s="24" t="s">
        <v>306</v>
      </c>
      <c r="C277" s="24" t="s">
        <v>306</v>
      </c>
      <c r="D277" s="24" t="s">
        <v>306</v>
      </c>
      <c r="E277" s="24" t="s">
        <v>306</v>
      </c>
      <c r="F277" s="24" t="s">
        <v>306</v>
      </c>
      <c r="G277" s="24" t="s">
        <v>306</v>
      </c>
      <c r="H277" s="24" t="s">
        <v>306</v>
      </c>
      <c r="I277" s="192" t="s">
        <v>306</v>
      </c>
      <c r="J277" s="193" t="s">
        <v>975</v>
      </c>
      <c r="K277" s="5" t="s">
        <v>867</v>
      </c>
      <c r="L277" s="5"/>
      <c r="M277" s="5" t="s">
        <v>392</v>
      </c>
      <c r="N277" s="5"/>
      <c r="O277" s="5"/>
      <c r="P277" s="290">
        <v>2688</v>
      </c>
      <c r="Q277" s="91"/>
      <c r="R277" s="91"/>
      <c r="S277" s="91"/>
      <c r="T277" s="91"/>
      <c r="U277" s="91"/>
      <c r="V277" s="99">
        <f t="shared" si="7"/>
        <v>2688</v>
      </c>
      <c r="W277" s="34"/>
      <c r="X277" s="34" t="s">
        <v>305</v>
      </c>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c r="AW277" s="34"/>
      <c r="AX277" s="34"/>
      <c r="AY277" s="34"/>
      <c r="AZ277" s="34"/>
      <c r="BA277" s="5"/>
    </row>
    <row r="278" spans="1:53" ht="15.75" thickBot="1" x14ac:dyDescent="0.3">
      <c r="A278" s="24" t="s">
        <v>305</v>
      </c>
      <c r="B278" s="24" t="s">
        <v>306</v>
      </c>
      <c r="C278" s="24" t="s">
        <v>306</v>
      </c>
      <c r="D278" s="24" t="s">
        <v>306</v>
      </c>
      <c r="E278" s="24" t="s">
        <v>306</v>
      </c>
      <c r="F278" s="24" t="s">
        <v>306</v>
      </c>
      <c r="G278" s="24" t="s">
        <v>306</v>
      </c>
      <c r="H278" s="24" t="s">
        <v>306</v>
      </c>
      <c r="I278" s="192" t="s">
        <v>306</v>
      </c>
      <c r="J278" s="193" t="s">
        <v>975</v>
      </c>
      <c r="K278" s="5" t="s">
        <v>868</v>
      </c>
      <c r="L278" s="5"/>
      <c r="M278" s="5" t="s">
        <v>392</v>
      </c>
      <c r="N278" s="5"/>
      <c r="O278" s="5"/>
      <c r="P278" s="290">
        <v>2161</v>
      </c>
      <c r="Q278" s="91"/>
      <c r="R278" s="91"/>
      <c r="S278" s="91"/>
      <c r="T278" s="91"/>
      <c r="U278" s="91"/>
      <c r="V278" s="99">
        <f t="shared" si="7"/>
        <v>2161</v>
      </c>
      <c r="W278" s="34"/>
      <c r="X278" s="34" t="s">
        <v>305</v>
      </c>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c r="AX278" s="34"/>
      <c r="AY278" s="34"/>
      <c r="AZ278" s="34"/>
      <c r="BA278" s="5"/>
    </row>
    <row r="279" spans="1:53" ht="15.75" thickBot="1" x14ac:dyDescent="0.3">
      <c r="A279" s="24" t="s">
        <v>305</v>
      </c>
      <c r="B279" s="24" t="s">
        <v>306</v>
      </c>
      <c r="C279" s="24" t="s">
        <v>306</v>
      </c>
      <c r="D279" s="24" t="s">
        <v>306</v>
      </c>
      <c r="E279" s="24" t="s">
        <v>306</v>
      </c>
      <c r="F279" s="24" t="s">
        <v>306</v>
      </c>
      <c r="G279" s="24" t="s">
        <v>306</v>
      </c>
      <c r="H279" s="24" t="s">
        <v>306</v>
      </c>
      <c r="I279" s="192" t="s">
        <v>306</v>
      </c>
      <c r="J279" s="193" t="s">
        <v>975</v>
      </c>
      <c r="K279" s="5" t="s">
        <v>869</v>
      </c>
      <c r="L279" s="5"/>
      <c r="M279" s="5" t="s">
        <v>392</v>
      </c>
      <c r="N279" s="5"/>
      <c r="O279" s="5"/>
      <c r="P279" s="290">
        <v>1382</v>
      </c>
      <c r="Q279" s="91"/>
      <c r="R279" s="91"/>
      <c r="S279" s="91"/>
      <c r="T279" s="91"/>
      <c r="U279" s="91"/>
      <c r="V279" s="99">
        <f t="shared" si="7"/>
        <v>1382</v>
      </c>
      <c r="W279" s="34"/>
      <c r="X279" s="34" t="s">
        <v>305</v>
      </c>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5"/>
    </row>
    <row r="280" spans="1:53" ht="15.75" thickBot="1" x14ac:dyDescent="0.3">
      <c r="A280" s="24" t="s">
        <v>305</v>
      </c>
      <c r="B280" s="24" t="s">
        <v>306</v>
      </c>
      <c r="C280" s="24" t="s">
        <v>306</v>
      </c>
      <c r="D280" s="24" t="s">
        <v>306</v>
      </c>
      <c r="E280" s="24" t="s">
        <v>306</v>
      </c>
      <c r="F280" s="24" t="s">
        <v>306</v>
      </c>
      <c r="G280" s="24" t="s">
        <v>306</v>
      </c>
      <c r="H280" s="24" t="s">
        <v>306</v>
      </c>
      <c r="I280" s="192" t="s">
        <v>306</v>
      </c>
      <c r="J280" s="193" t="s">
        <v>975</v>
      </c>
      <c r="K280" s="5" t="s">
        <v>870</v>
      </c>
      <c r="L280" s="5"/>
      <c r="M280" s="5" t="s">
        <v>392</v>
      </c>
      <c r="N280" s="5"/>
      <c r="O280" s="5"/>
      <c r="P280" s="290">
        <v>2385</v>
      </c>
      <c r="Q280" s="91"/>
      <c r="R280" s="91"/>
      <c r="S280" s="91"/>
      <c r="T280" s="91"/>
      <c r="U280" s="91"/>
      <c r="V280" s="99">
        <f t="shared" si="7"/>
        <v>2385</v>
      </c>
      <c r="W280" s="34"/>
      <c r="X280" s="34" t="s">
        <v>305</v>
      </c>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c r="AX280" s="34"/>
      <c r="AY280" s="34"/>
      <c r="AZ280" s="34"/>
      <c r="BA280" s="5"/>
    </row>
    <row r="281" spans="1:53" ht="15.75" thickBot="1" x14ac:dyDescent="0.3">
      <c r="A281" s="24" t="s">
        <v>305</v>
      </c>
      <c r="B281" s="24" t="s">
        <v>306</v>
      </c>
      <c r="C281" s="24" t="s">
        <v>306</v>
      </c>
      <c r="D281" s="24" t="s">
        <v>306</v>
      </c>
      <c r="E281" s="24" t="s">
        <v>306</v>
      </c>
      <c r="F281" s="24" t="s">
        <v>306</v>
      </c>
      <c r="G281" s="24" t="s">
        <v>306</v>
      </c>
      <c r="H281" s="24" t="s">
        <v>306</v>
      </c>
      <c r="I281" s="192" t="s">
        <v>306</v>
      </c>
      <c r="J281" s="193" t="s">
        <v>975</v>
      </c>
      <c r="K281" s="5" t="s">
        <v>871</v>
      </c>
      <c r="L281" s="5"/>
      <c r="M281" s="5" t="s">
        <v>392</v>
      </c>
      <c r="N281" s="5"/>
      <c r="O281" s="5"/>
      <c r="P281" s="290">
        <v>2890</v>
      </c>
      <c r="Q281" s="91"/>
      <c r="R281" s="91"/>
      <c r="S281" s="91"/>
      <c r="T281" s="91"/>
      <c r="U281" s="91"/>
      <c r="V281" s="99">
        <f t="shared" si="7"/>
        <v>2890</v>
      </c>
      <c r="W281" s="34"/>
      <c r="X281" s="34" t="s">
        <v>305</v>
      </c>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c r="AW281" s="34"/>
      <c r="AX281" s="34"/>
      <c r="AY281" s="34"/>
      <c r="AZ281" s="34"/>
      <c r="BA281" s="5"/>
    </row>
    <row r="282" spans="1:53" ht="15.75" thickBot="1" x14ac:dyDescent="0.3">
      <c r="A282" s="24" t="s">
        <v>305</v>
      </c>
      <c r="B282" s="24" t="s">
        <v>306</v>
      </c>
      <c r="C282" s="24" t="s">
        <v>306</v>
      </c>
      <c r="D282" s="24" t="s">
        <v>306</v>
      </c>
      <c r="E282" s="24" t="s">
        <v>306</v>
      </c>
      <c r="F282" s="24" t="s">
        <v>306</v>
      </c>
      <c r="G282" s="24" t="s">
        <v>306</v>
      </c>
      <c r="H282" s="24" t="s">
        <v>306</v>
      </c>
      <c r="I282" s="192" t="s">
        <v>306</v>
      </c>
      <c r="J282" s="193" t="s">
        <v>975</v>
      </c>
      <c r="K282" s="5" t="s">
        <v>872</v>
      </c>
      <c r="L282" s="5"/>
      <c r="M282" s="5" t="s">
        <v>392</v>
      </c>
      <c r="N282" s="5"/>
      <c r="O282" s="5"/>
      <c r="P282" s="290">
        <v>2847</v>
      </c>
      <c r="Q282" s="91"/>
      <c r="R282" s="91"/>
      <c r="S282" s="91"/>
      <c r="T282" s="91"/>
      <c r="U282" s="91"/>
      <c r="V282" s="99">
        <f t="shared" si="7"/>
        <v>2847</v>
      </c>
      <c r="W282" s="34"/>
      <c r="X282" s="34" t="s">
        <v>305</v>
      </c>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c r="AW282" s="34"/>
      <c r="AX282" s="34"/>
      <c r="AY282" s="34"/>
      <c r="AZ282" s="34"/>
      <c r="BA282" s="5"/>
    </row>
    <row r="283" spans="1:53" ht="15.75" thickBot="1" x14ac:dyDescent="0.3">
      <c r="A283" s="24" t="s">
        <v>305</v>
      </c>
      <c r="B283" s="24" t="s">
        <v>306</v>
      </c>
      <c r="C283" s="24" t="s">
        <v>306</v>
      </c>
      <c r="D283" s="24" t="s">
        <v>306</v>
      </c>
      <c r="E283" s="24" t="s">
        <v>306</v>
      </c>
      <c r="F283" s="24" t="s">
        <v>306</v>
      </c>
      <c r="G283" s="24" t="s">
        <v>306</v>
      </c>
      <c r="H283" s="24" t="s">
        <v>306</v>
      </c>
      <c r="I283" s="192" t="s">
        <v>306</v>
      </c>
      <c r="J283" s="193" t="s">
        <v>975</v>
      </c>
      <c r="K283" s="5" t="s">
        <v>873</v>
      </c>
      <c r="L283" s="5"/>
      <c r="M283" s="5" t="s">
        <v>392</v>
      </c>
      <c r="N283" s="5"/>
      <c r="O283" s="5"/>
      <c r="P283" s="290">
        <v>2290</v>
      </c>
      <c r="Q283" s="91"/>
      <c r="R283" s="91"/>
      <c r="S283" s="91"/>
      <c r="T283" s="91"/>
      <c r="U283" s="91"/>
      <c r="V283" s="99">
        <f t="shared" si="7"/>
        <v>2290</v>
      </c>
      <c r="W283" s="34"/>
      <c r="X283" s="34" t="s">
        <v>305</v>
      </c>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c r="AX283" s="34"/>
      <c r="AY283" s="34"/>
      <c r="AZ283" s="34"/>
      <c r="BA283" s="5"/>
    </row>
    <row r="284" spans="1:53" ht="15.75" thickBot="1" x14ac:dyDescent="0.3">
      <c r="A284" s="24" t="s">
        <v>305</v>
      </c>
      <c r="B284" s="24" t="s">
        <v>306</v>
      </c>
      <c r="C284" s="24" t="s">
        <v>306</v>
      </c>
      <c r="D284" s="24" t="s">
        <v>306</v>
      </c>
      <c r="E284" s="24" t="s">
        <v>306</v>
      </c>
      <c r="F284" s="24" t="s">
        <v>306</v>
      </c>
      <c r="G284" s="24" t="s">
        <v>306</v>
      </c>
      <c r="H284" s="24" t="s">
        <v>306</v>
      </c>
      <c r="I284" s="192" t="s">
        <v>306</v>
      </c>
      <c r="J284" s="193" t="s">
        <v>975</v>
      </c>
      <c r="K284" s="5" t="s">
        <v>874</v>
      </c>
      <c r="L284" s="5"/>
      <c r="M284" s="5" t="s">
        <v>392</v>
      </c>
      <c r="N284" s="5"/>
      <c r="O284" s="5"/>
      <c r="P284" s="290">
        <v>2794</v>
      </c>
      <c r="Q284" s="91"/>
      <c r="R284" s="91"/>
      <c r="S284" s="91"/>
      <c r="T284" s="91"/>
      <c r="U284" s="91"/>
      <c r="V284" s="99">
        <f t="shared" si="7"/>
        <v>2794</v>
      </c>
      <c r="W284" s="34"/>
      <c r="X284" s="34" t="s">
        <v>305</v>
      </c>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c r="AW284" s="34"/>
      <c r="AX284" s="34"/>
      <c r="AY284" s="34"/>
      <c r="AZ284" s="34"/>
      <c r="BA284" s="5"/>
    </row>
    <row r="285" spans="1:53" ht="15.75" thickBot="1" x14ac:dyDescent="0.3">
      <c r="A285" s="24" t="s">
        <v>305</v>
      </c>
      <c r="B285" s="24" t="s">
        <v>306</v>
      </c>
      <c r="C285" s="24" t="s">
        <v>306</v>
      </c>
      <c r="D285" s="24" t="s">
        <v>306</v>
      </c>
      <c r="E285" s="24" t="s">
        <v>306</v>
      </c>
      <c r="F285" s="24" t="s">
        <v>306</v>
      </c>
      <c r="G285" s="24" t="s">
        <v>306</v>
      </c>
      <c r="H285" s="24" t="s">
        <v>306</v>
      </c>
      <c r="I285" s="192" t="s">
        <v>306</v>
      </c>
      <c r="J285" s="193" t="s">
        <v>975</v>
      </c>
      <c r="K285" s="5" t="s">
        <v>875</v>
      </c>
      <c r="L285" s="5"/>
      <c r="M285" s="5" t="s">
        <v>392</v>
      </c>
      <c r="N285" s="5"/>
      <c r="O285" s="5"/>
      <c r="P285" s="290">
        <v>2473</v>
      </c>
      <c r="Q285" s="91"/>
      <c r="R285" s="91"/>
      <c r="S285" s="91"/>
      <c r="T285" s="91"/>
      <c r="U285" s="91"/>
      <c r="V285" s="99">
        <f t="shared" si="7"/>
        <v>2473</v>
      </c>
      <c r="W285" s="34"/>
      <c r="X285" s="34" t="s">
        <v>305</v>
      </c>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c r="AW285" s="34"/>
      <c r="AX285" s="34"/>
      <c r="AY285" s="34"/>
      <c r="AZ285" s="34"/>
      <c r="BA285" s="5"/>
    </row>
    <row r="286" spans="1:53" ht="15.75" thickBot="1" x14ac:dyDescent="0.3">
      <c r="A286" s="24" t="s">
        <v>305</v>
      </c>
      <c r="B286" s="24" t="s">
        <v>306</v>
      </c>
      <c r="C286" s="24" t="s">
        <v>306</v>
      </c>
      <c r="D286" s="24" t="s">
        <v>306</v>
      </c>
      <c r="E286" s="24" t="s">
        <v>306</v>
      </c>
      <c r="F286" s="24" t="s">
        <v>306</v>
      </c>
      <c r="G286" s="24" t="s">
        <v>306</v>
      </c>
      <c r="H286" s="24" t="s">
        <v>306</v>
      </c>
      <c r="I286" s="192" t="s">
        <v>306</v>
      </c>
      <c r="J286" s="193" t="s">
        <v>975</v>
      </c>
      <c r="K286" s="5" t="s">
        <v>876</v>
      </c>
      <c r="L286" s="5"/>
      <c r="M286" s="5" t="s">
        <v>392</v>
      </c>
      <c r="N286" s="5"/>
      <c r="O286" s="5"/>
      <c r="P286" s="290">
        <v>2350</v>
      </c>
      <c r="Q286" s="91"/>
      <c r="R286" s="91"/>
      <c r="S286" s="91"/>
      <c r="T286" s="91"/>
      <c r="U286" s="91"/>
      <c r="V286" s="99">
        <f t="shared" si="7"/>
        <v>2350</v>
      </c>
      <c r="W286" s="34"/>
      <c r="X286" s="34" t="s">
        <v>305</v>
      </c>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c r="AW286" s="34"/>
      <c r="AX286" s="34"/>
      <c r="AY286" s="34"/>
      <c r="AZ286" s="34"/>
      <c r="BA286" s="5"/>
    </row>
    <row r="287" spans="1:53" ht="15.75" thickBot="1" x14ac:dyDescent="0.3">
      <c r="A287" s="24" t="s">
        <v>305</v>
      </c>
      <c r="B287" s="24" t="s">
        <v>306</v>
      </c>
      <c r="C287" s="24" t="s">
        <v>306</v>
      </c>
      <c r="D287" s="24" t="s">
        <v>306</v>
      </c>
      <c r="E287" s="24" t="s">
        <v>306</v>
      </c>
      <c r="F287" s="24" t="s">
        <v>306</v>
      </c>
      <c r="G287" s="24" t="s">
        <v>306</v>
      </c>
      <c r="H287" s="24" t="s">
        <v>306</v>
      </c>
      <c r="I287" s="192" t="s">
        <v>306</v>
      </c>
      <c r="J287" s="193" t="s">
        <v>975</v>
      </c>
      <c r="K287" s="5" t="s">
        <v>877</v>
      </c>
      <c r="L287" s="5"/>
      <c r="M287" s="5" t="s">
        <v>392</v>
      </c>
      <c r="N287" s="5"/>
      <c r="O287" s="5"/>
      <c r="P287" s="290">
        <v>2274</v>
      </c>
      <c r="Q287" s="91"/>
      <c r="R287" s="91"/>
      <c r="S287" s="91"/>
      <c r="T287" s="91"/>
      <c r="U287" s="91"/>
      <c r="V287" s="99">
        <f t="shared" si="7"/>
        <v>2274</v>
      </c>
      <c r="W287" s="34"/>
      <c r="X287" s="34" t="s">
        <v>305</v>
      </c>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c r="AW287" s="34"/>
      <c r="AX287" s="34"/>
      <c r="AY287" s="34"/>
      <c r="AZ287" s="34"/>
      <c r="BA287" s="5"/>
    </row>
    <row r="288" spans="1:53" ht="15.75" thickBot="1" x14ac:dyDescent="0.3">
      <c r="A288" s="24" t="s">
        <v>305</v>
      </c>
      <c r="B288" s="24" t="s">
        <v>306</v>
      </c>
      <c r="C288" s="24" t="s">
        <v>306</v>
      </c>
      <c r="D288" s="24" t="s">
        <v>306</v>
      </c>
      <c r="E288" s="24" t="s">
        <v>306</v>
      </c>
      <c r="F288" s="24" t="s">
        <v>306</v>
      </c>
      <c r="G288" s="24" t="s">
        <v>306</v>
      </c>
      <c r="H288" s="24" t="s">
        <v>306</v>
      </c>
      <c r="I288" s="192" t="s">
        <v>306</v>
      </c>
      <c r="J288" s="193" t="s">
        <v>975</v>
      </c>
      <c r="K288" s="5" t="s">
        <v>878</v>
      </c>
      <c r="L288" s="5"/>
      <c r="M288" s="5" t="s">
        <v>392</v>
      </c>
      <c r="N288" s="5"/>
      <c r="O288" s="5"/>
      <c r="P288" s="290">
        <v>2212</v>
      </c>
      <c r="Q288" s="91"/>
      <c r="R288" s="91"/>
      <c r="S288" s="91"/>
      <c r="T288" s="91"/>
      <c r="U288" s="91"/>
      <c r="V288" s="99">
        <f t="shared" si="7"/>
        <v>2212</v>
      </c>
      <c r="W288" s="34"/>
      <c r="X288" s="34" t="s">
        <v>305</v>
      </c>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c r="AW288" s="34"/>
      <c r="AX288" s="34"/>
      <c r="AY288" s="34"/>
      <c r="AZ288" s="34"/>
      <c r="BA288" s="5"/>
    </row>
    <row r="289" spans="1:53" ht="15.75" thickBot="1" x14ac:dyDescent="0.3">
      <c r="A289" s="24" t="s">
        <v>305</v>
      </c>
      <c r="B289" s="24" t="s">
        <v>306</v>
      </c>
      <c r="C289" s="24" t="s">
        <v>306</v>
      </c>
      <c r="D289" s="24" t="s">
        <v>306</v>
      </c>
      <c r="E289" s="24" t="s">
        <v>306</v>
      </c>
      <c r="F289" s="24" t="s">
        <v>306</v>
      </c>
      <c r="G289" s="24" t="s">
        <v>306</v>
      </c>
      <c r="H289" s="24" t="s">
        <v>306</v>
      </c>
      <c r="I289" s="192" t="s">
        <v>306</v>
      </c>
      <c r="J289" s="193" t="s">
        <v>975</v>
      </c>
      <c r="K289" s="5" t="s">
        <v>879</v>
      </c>
      <c r="L289" s="5"/>
      <c r="M289" s="5" t="s">
        <v>392</v>
      </c>
      <c r="N289" s="5"/>
      <c r="O289" s="5"/>
      <c r="P289" s="290">
        <v>1431</v>
      </c>
      <c r="Q289" s="91"/>
      <c r="R289" s="91"/>
      <c r="S289" s="91"/>
      <c r="T289" s="91"/>
      <c r="U289" s="91"/>
      <c r="V289" s="99">
        <f t="shared" si="7"/>
        <v>1431</v>
      </c>
      <c r="W289" s="34"/>
      <c r="X289" s="34" t="s">
        <v>305</v>
      </c>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5"/>
    </row>
    <row r="290" spans="1:53" ht="15.75" thickBot="1" x14ac:dyDescent="0.3">
      <c r="A290" s="24" t="s">
        <v>305</v>
      </c>
      <c r="B290" s="24" t="s">
        <v>306</v>
      </c>
      <c r="C290" s="24" t="s">
        <v>306</v>
      </c>
      <c r="D290" s="24" t="s">
        <v>306</v>
      </c>
      <c r="E290" s="24" t="s">
        <v>306</v>
      </c>
      <c r="F290" s="24" t="s">
        <v>306</v>
      </c>
      <c r="G290" s="24" t="s">
        <v>306</v>
      </c>
      <c r="H290" s="24" t="s">
        <v>306</v>
      </c>
      <c r="I290" s="192" t="s">
        <v>306</v>
      </c>
      <c r="J290" s="193" t="s">
        <v>975</v>
      </c>
      <c r="K290" s="5" t="s">
        <v>880</v>
      </c>
      <c r="L290" s="5"/>
      <c r="M290" s="5" t="s">
        <v>392</v>
      </c>
      <c r="N290" s="5"/>
      <c r="O290" s="5"/>
      <c r="P290" s="290">
        <v>1371</v>
      </c>
      <c r="Q290" s="91"/>
      <c r="R290" s="91"/>
      <c r="S290" s="91"/>
      <c r="T290" s="91"/>
      <c r="U290" s="91"/>
      <c r="V290" s="99">
        <f t="shared" si="7"/>
        <v>1371</v>
      </c>
      <c r="W290" s="34"/>
      <c r="X290" s="34" t="s">
        <v>305</v>
      </c>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5"/>
    </row>
    <row r="291" spans="1:53" ht="15.75" thickBot="1" x14ac:dyDescent="0.3">
      <c r="A291" s="24" t="s">
        <v>305</v>
      </c>
      <c r="B291" s="24" t="s">
        <v>306</v>
      </c>
      <c r="C291" s="24" t="s">
        <v>306</v>
      </c>
      <c r="D291" s="24" t="s">
        <v>306</v>
      </c>
      <c r="E291" s="24" t="s">
        <v>306</v>
      </c>
      <c r="F291" s="24" t="s">
        <v>306</v>
      </c>
      <c r="G291" s="24" t="s">
        <v>306</v>
      </c>
      <c r="H291" s="24" t="s">
        <v>306</v>
      </c>
      <c r="I291" s="192" t="s">
        <v>306</v>
      </c>
      <c r="J291" s="193" t="s">
        <v>975</v>
      </c>
      <c r="K291" s="5" t="s">
        <v>881</v>
      </c>
      <c r="L291" s="5"/>
      <c r="M291" s="5" t="s">
        <v>392</v>
      </c>
      <c r="N291" s="5"/>
      <c r="O291" s="5"/>
      <c r="P291" s="290">
        <v>2024</v>
      </c>
      <c r="Q291" s="91"/>
      <c r="R291" s="91"/>
      <c r="S291" s="91"/>
      <c r="T291" s="91"/>
      <c r="U291" s="91"/>
      <c r="V291" s="99">
        <f t="shared" si="7"/>
        <v>2024</v>
      </c>
      <c r="W291" s="34"/>
      <c r="X291" s="34" t="s">
        <v>305</v>
      </c>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5"/>
    </row>
    <row r="292" spans="1:53" ht="15.75" thickBot="1" x14ac:dyDescent="0.3">
      <c r="A292" s="24" t="s">
        <v>305</v>
      </c>
      <c r="B292" s="24" t="s">
        <v>306</v>
      </c>
      <c r="C292" s="24" t="s">
        <v>306</v>
      </c>
      <c r="D292" s="24" t="s">
        <v>306</v>
      </c>
      <c r="E292" s="24" t="s">
        <v>306</v>
      </c>
      <c r="F292" s="24" t="s">
        <v>306</v>
      </c>
      <c r="G292" s="24" t="s">
        <v>306</v>
      </c>
      <c r="H292" s="24" t="s">
        <v>306</v>
      </c>
      <c r="I292" s="192" t="s">
        <v>306</v>
      </c>
      <c r="J292" s="193" t="s">
        <v>975</v>
      </c>
      <c r="K292" s="5" t="s">
        <v>882</v>
      </c>
      <c r="L292" s="5"/>
      <c r="M292" s="5" t="s">
        <v>392</v>
      </c>
      <c r="N292" s="5"/>
      <c r="O292" s="5"/>
      <c r="P292" s="290">
        <v>3417</v>
      </c>
      <c r="Q292" s="91"/>
      <c r="R292" s="91"/>
      <c r="S292" s="91"/>
      <c r="T292" s="91"/>
      <c r="U292" s="91"/>
      <c r="V292" s="99">
        <f t="shared" si="7"/>
        <v>3417</v>
      </c>
      <c r="W292" s="34"/>
      <c r="X292" s="34" t="s">
        <v>305</v>
      </c>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5"/>
    </row>
    <row r="293" spans="1:53" ht="15.75" thickBot="1" x14ac:dyDescent="0.3">
      <c r="A293" s="24" t="s">
        <v>305</v>
      </c>
      <c r="B293" s="24" t="s">
        <v>306</v>
      </c>
      <c r="C293" s="24" t="s">
        <v>306</v>
      </c>
      <c r="D293" s="24" t="s">
        <v>306</v>
      </c>
      <c r="E293" s="24" t="s">
        <v>306</v>
      </c>
      <c r="F293" s="24" t="s">
        <v>306</v>
      </c>
      <c r="G293" s="24" t="s">
        <v>306</v>
      </c>
      <c r="H293" s="24" t="s">
        <v>306</v>
      </c>
      <c r="I293" s="192" t="s">
        <v>306</v>
      </c>
      <c r="J293" s="193" t="s">
        <v>975</v>
      </c>
      <c r="K293" s="5" t="s">
        <v>883</v>
      </c>
      <c r="L293" s="5"/>
      <c r="M293" s="5" t="s">
        <v>392</v>
      </c>
      <c r="N293" s="5"/>
      <c r="O293" s="5"/>
      <c r="P293" s="290">
        <v>15.3</v>
      </c>
      <c r="Q293" s="91"/>
      <c r="R293" s="91"/>
      <c r="S293" s="91"/>
      <c r="T293" s="91"/>
      <c r="U293" s="91"/>
      <c r="V293" s="99">
        <f t="shared" si="7"/>
        <v>15.3</v>
      </c>
      <c r="W293" s="34"/>
      <c r="X293" s="34" t="s">
        <v>305</v>
      </c>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5"/>
    </row>
    <row r="294" spans="1:53" ht="15.75" thickBot="1" x14ac:dyDescent="0.3">
      <c r="A294" s="24" t="s">
        <v>305</v>
      </c>
      <c r="B294" s="24" t="s">
        <v>306</v>
      </c>
      <c r="C294" s="24" t="s">
        <v>306</v>
      </c>
      <c r="D294" s="24" t="s">
        <v>306</v>
      </c>
      <c r="E294" s="24" t="s">
        <v>306</v>
      </c>
      <c r="F294" s="24" t="s">
        <v>306</v>
      </c>
      <c r="G294" s="24" t="s">
        <v>306</v>
      </c>
      <c r="H294" s="24" t="s">
        <v>306</v>
      </c>
      <c r="I294" s="192" t="s">
        <v>306</v>
      </c>
      <c r="J294" s="193" t="s">
        <v>975</v>
      </c>
      <c r="K294" s="5" t="s">
        <v>884</v>
      </c>
      <c r="L294" s="5"/>
      <c r="M294" s="5" t="s">
        <v>392</v>
      </c>
      <c r="N294" s="5"/>
      <c r="O294" s="5"/>
      <c r="P294" s="290">
        <v>106</v>
      </c>
      <c r="Q294" s="91"/>
      <c r="R294" s="91"/>
      <c r="S294" s="91"/>
      <c r="T294" s="91"/>
      <c r="U294" s="91"/>
      <c r="V294" s="99">
        <f t="shared" si="7"/>
        <v>106</v>
      </c>
      <c r="W294" s="34"/>
      <c r="X294" s="34" t="s">
        <v>305</v>
      </c>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c r="AW294" s="34"/>
      <c r="AX294" s="34"/>
      <c r="AY294" s="34"/>
      <c r="AZ294" s="34"/>
      <c r="BA294" s="5"/>
    </row>
    <row r="295" spans="1:53" ht="15.75" thickBot="1" x14ac:dyDescent="0.3">
      <c r="A295" s="24" t="s">
        <v>305</v>
      </c>
      <c r="B295" s="24" t="s">
        <v>306</v>
      </c>
      <c r="C295" s="24" t="s">
        <v>306</v>
      </c>
      <c r="D295" s="24" t="s">
        <v>306</v>
      </c>
      <c r="E295" s="24" t="s">
        <v>306</v>
      </c>
      <c r="F295" s="24" t="s">
        <v>306</v>
      </c>
      <c r="G295" s="24" t="s">
        <v>306</v>
      </c>
      <c r="H295" s="24" t="s">
        <v>306</v>
      </c>
      <c r="I295" s="192" t="s">
        <v>306</v>
      </c>
      <c r="J295" s="193" t="s">
        <v>975</v>
      </c>
      <c r="K295" s="5" t="s">
        <v>885</v>
      </c>
      <c r="L295" s="5"/>
      <c r="M295" s="5" t="s">
        <v>392</v>
      </c>
      <c r="N295" s="5"/>
      <c r="O295" s="5"/>
      <c r="P295" s="290">
        <v>40</v>
      </c>
      <c r="Q295" s="91"/>
      <c r="R295" s="91"/>
      <c r="S295" s="91"/>
      <c r="T295" s="91"/>
      <c r="U295" s="91"/>
      <c r="V295" s="99">
        <f t="shared" si="7"/>
        <v>40</v>
      </c>
      <c r="W295" s="34"/>
      <c r="X295" s="34" t="s">
        <v>305</v>
      </c>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5"/>
    </row>
    <row r="296" spans="1:53" ht="15.75" thickBot="1" x14ac:dyDescent="0.3">
      <c r="A296" s="24" t="s">
        <v>305</v>
      </c>
      <c r="B296" s="24" t="s">
        <v>306</v>
      </c>
      <c r="C296" s="24" t="s">
        <v>306</v>
      </c>
      <c r="D296" s="24" t="s">
        <v>306</v>
      </c>
      <c r="E296" s="24" t="s">
        <v>306</v>
      </c>
      <c r="F296" s="24" t="s">
        <v>306</v>
      </c>
      <c r="G296" s="24" t="s">
        <v>306</v>
      </c>
      <c r="H296" s="24" t="s">
        <v>306</v>
      </c>
      <c r="I296" s="192" t="s">
        <v>306</v>
      </c>
      <c r="J296" s="193" t="s">
        <v>975</v>
      </c>
      <c r="K296" s="5" t="s">
        <v>886</v>
      </c>
      <c r="L296" s="5"/>
      <c r="M296" s="5" t="s">
        <v>392</v>
      </c>
      <c r="N296" s="5"/>
      <c r="O296" s="5"/>
      <c r="P296" s="290">
        <v>1.8</v>
      </c>
      <c r="Q296" s="91"/>
      <c r="R296" s="91"/>
      <c r="S296" s="91"/>
      <c r="T296" s="91"/>
      <c r="U296" s="91"/>
      <c r="V296" s="99">
        <f t="shared" si="7"/>
        <v>1.8</v>
      </c>
      <c r="W296" s="34"/>
      <c r="X296" s="34" t="s">
        <v>305</v>
      </c>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c r="AW296" s="34"/>
      <c r="AX296" s="34"/>
      <c r="AY296" s="34"/>
      <c r="AZ296" s="34"/>
      <c r="BA296" s="5"/>
    </row>
    <row r="297" spans="1:53" ht="15.75" thickBot="1" x14ac:dyDescent="0.3">
      <c r="A297" s="24" t="s">
        <v>305</v>
      </c>
      <c r="B297" s="24" t="s">
        <v>306</v>
      </c>
      <c r="C297" s="24" t="s">
        <v>306</v>
      </c>
      <c r="D297" s="24" t="s">
        <v>306</v>
      </c>
      <c r="E297" s="24" t="s">
        <v>306</v>
      </c>
      <c r="F297" s="24" t="s">
        <v>306</v>
      </c>
      <c r="G297" s="24" t="s">
        <v>306</v>
      </c>
      <c r="H297" s="24" t="s">
        <v>306</v>
      </c>
      <c r="I297" s="192" t="s">
        <v>306</v>
      </c>
      <c r="J297" s="193" t="s">
        <v>975</v>
      </c>
      <c r="K297" s="5" t="s">
        <v>887</v>
      </c>
      <c r="L297" s="5"/>
      <c r="M297" s="5" t="s">
        <v>392</v>
      </c>
      <c r="N297" s="5"/>
      <c r="O297" s="5"/>
      <c r="P297" s="290">
        <v>0.64</v>
      </c>
      <c r="Q297" s="91"/>
      <c r="R297" s="91"/>
      <c r="S297" s="91"/>
      <c r="T297" s="91"/>
      <c r="U297" s="91"/>
      <c r="V297" s="99">
        <f t="shared" si="7"/>
        <v>0.64</v>
      </c>
      <c r="W297" s="34"/>
      <c r="X297" s="34" t="s">
        <v>305</v>
      </c>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c r="AW297" s="34"/>
      <c r="AX297" s="34"/>
      <c r="AY297" s="34"/>
      <c r="AZ297" s="34"/>
      <c r="BA297" s="5"/>
    </row>
    <row r="298" spans="1:53" ht="15.75" thickBot="1" x14ac:dyDescent="0.3">
      <c r="A298" s="24" t="s">
        <v>305</v>
      </c>
      <c r="B298" s="24" t="s">
        <v>306</v>
      </c>
      <c r="C298" s="24" t="s">
        <v>306</v>
      </c>
      <c r="D298" s="24" t="s">
        <v>306</v>
      </c>
      <c r="E298" s="24" t="s">
        <v>306</v>
      </c>
      <c r="F298" s="24" t="s">
        <v>306</v>
      </c>
      <c r="G298" s="24" t="s">
        <v>306</v>
      </c>
      <c r="H298" s="24" t="s">
        <v>306</v>
      </c>
      <c r="I298" s="192" t="s">
        <v>306</v>
      </c>
      <c r="J298" s="193" t="s">
        <v>975</v>
      </c>
      <c r="K298" s="5" t="s">
        <v>888</v>
      </c>
      <c r="L298" s="5"/>
      <c r="M298" s="5" t="s">
        <v>392</v>
      </c>
      <c r="N298" s="5"/>
      <c r="O298" s="5"/>
      <c r="P298" s="290">
        <v>0.16</v>
      </c>
      <c r="Q298" s="91"/>
      <c r="R298" s="91"/>
      <c r="S298" s="91"/>
      <c r="T298" s="91"/>
      <c r="U298" s="91"/>
      <c r="V298" s="99">
        <f t="shared" si="7"/>
        <v>0.16</v>
      </c>
      <c r="W298" s="34"/>
      <c r="X298" s="34" t="s">
        <v>305</v>
      </c>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c r="AX298" s="34"/>
      <c r="AY298" s="34"/>
      <c r="AZ298" s="34"/>
      <c r="BA298" s="5"/>
    </row>
    <row r="299" spans="1:53" ht="15.75" thickBot="1" x14ac:dyDescent="0.3">
      <c r="A299" s="24" t="s">
        <v>305</v>
      </c>
      <c r="B299" s="24" t="s">
        <v>306</v>
      </c>
      <c r="C299" s="24" t="s">
        <v>306</v>
      </c>
      <c r="D299" s="24" t="s">
        <v>306</v>
      </c>
      <c r="E299" s="24" t="s">
        <v>306</v>
      </c>
      <c r="F299" s="24" t="s">
        <v>306</v>
      </c>
      <c r="G299" s="24" t="s">
        <v>306</v>
      </c>
      <c r="H299" s="24" t="s">
        <v>306</v>
      </c>
      <c r="I299" s="192" t="s">
        <v>306</v>
      </c>
      <c r="J299" s="193" t="s">
        <v>975</v>
      </c>
      <c r="K299" s="5" t="s">
        <v>889</v>
      </c>
      <c r="L299" s="5"/>
      <c r="M299" s="5" t="s">
        <v>392</v>
      </c>
      <c r="N299" s="5"/>
      <c r="O299" s="5"/>
      <c r="P299" s="290">
        <v>0.55000000000000004</v>
      </c>
      <c r="Q299" s="91"/>
      <c r="R299" s="91"/>
      <c r="S299" s="91"/>
      <c r="T299" s="91"/>
      <c r="U299" s="91"/>
      <c r="V299" s="99">
        <f t="shared" si="7"/>
        <v>0.55000000000000004</v>
      </c>
      <c r="W299" s="34"/>
      <c r="X299" s="34" t="s">
        <v>305</v>
      </c>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c r="AW299" s="34"/>
      <c r="AX299" s="34"/>
      <c r="AY299" s="34"/>
      <c r="AZ299" s="34"/>
      <c r="BA299" s="5"/>
    </row>
    <row r="300" spans="1:53" ht="15.75" thickBot="1" x14ac:dyDescent="0.3">
      <c r="A300" s="24" t="s">
        <v>305</v>
      </c>
      <c r="B300" s="24" t="s">
        <v>306</v>
      </c>
      <c r="C300" s="24" t="s">
        <v>306</v>
      </c>
      <c r="D300" s="24" t="s">
        <v>306</v>
      </c>
      <c r="E300" s="24" t="s">
        <v>306</v>
      </c>
      <c r="F300" s="24" t="s">
        <v>306</v>
      </c>
      <c r="G300" s="24" t="s">
        <v>306</v>
      </c>
      <c r="H300" s="24" t="s">
        <v>306</v>
      </c>
      <c r="I300" s="192" t="s">
        <v>306</v>
      </c>
      <c r="J300" s="193" t="s">
        <v>975</v>
      </c>
      <c r="K300" s="5" t="s">
        <v>890</v>
      </c>
      <c r="L300" s="5"/>
      <c r="M300" s="5" t="s">
        <v>392</v>
      </c>
      <c r="N300" s="5"/>
      <c r="O300" s="5"/>
      <c r="P300" s="290">
        <v>3076</v>
      </c>
      <c r="Q300" s="91"/>
      <c r="R300" s="91"/>
      <c r="S300" s="91"/>
      <c r="T300" s="91"/>
      <c r="U300" s="91"/>
      <c r="V300" s="99">
        <f t="shared" si="7"/>
        <v>3076</v>
      </c>
      <c r="W300" s="34"/>
      <c r="X300" s="34" t="s">
        <v>305</v>
      </c>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c r="AW300" s="34"/>
      <c r="AX300" s="34"/>
      <c r="AY300" s="34"/>
      <c r="AZ300" s="34"/>
      <c r="BA300" s="5"/>
    </row>
    <row r="301" spans="1:53" ht="15.75" thickBot="1" x14ac:dyDescent="0.3">
      <c r="A301" s="24" t="s">
        <v>305</v>
      </c>
      <c r="B301" s="24" t="s">
        <v>306</v>
      </c>
      <c r="C301" s="24" t="s">
        <v>306</v>
      </c>
      <c r="D301" s="24" t="s">
        <v>306</v>
      </c>
      <c r="E301" s="24" t="s">
        <v>306</v>
      </c>
      <c r="F301" s="24" t="s">
        <v>306</v>
      </c>
      <c r="G301" s="24" t="s">
        <v>306</v>
      </c>
      <c r="H301" s="24" t="s">
        <v>306</v>
      </c>
      <c r="I301" s="192" t="s">
        <v>306</v>
      </c>
      <c r="J301" s="193" t="s">
        <v>975</v>
      </c>
      <c r="K301" s="5" t="s">
        <v>891</v>
      </c>
      <c r="L301" s="5"/>
      <c r="M301" s="5" t="s">
        <v>392</v>
      </c>
      <c r="N301" s="5"/>
      <c r="O301" s="5"/>
      <c r="P301" s="290">
        <v>28.4</v>
      </c>
      <c r="Q301" s="91"/>
      <c r="R301" s="91"/>
      <c r="S301" s="91"/>
      <c r="T301" s="91"/>
      <c r="U301" s="91"/>
      <c r="V301" s="99">
        <f t="shared" si="7"/>
        <v>28.4</v>
      </c>
      <c r="W301" s="34"/>
      <c r="X301" s="34" t="s">
        <v>305</v>
      </c>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c r="AW301" s="34"/>
      <c r="AX301" s="34"/>
      <c r="AY301" s="34"/>
      <c r="AZ301" s="34"/>
      <c r="BA301" s="5"/>
    </row>
    <row r="302" spans="1:53" ht="15.75" thickBot="1" x14ac:dyDescent="0.3">
      <c r="A302" s="24" t="s">
        <v>305</v>
      </c>
      <c r="B302" s="24" t="s">
        <v>306</v>
      </c>
      <c r="C302" s="24" t="s">
        <v>306</v>
      </c>
      <c r="D302" s="24" t="s">
        <v>306</v>
      </c>
      <c r="E302" s="24" t="s">
        <v>306</v>
      </c>
      <c r="F302" s="24" t="s">
        <v>306</v>
      </c>
      <c r="G302" s="24" t="s">
        <v>306</v>
      </c>
      <c r="H302" s="24" t="s">
        <v>306</v>
      </c>
      <c r="I302" s="192" t="s">
        <v>306</v>
      </c>
      <c r="J302" s="193" t="s">
        <v>975</v>
      </c>
      <c r="K302" s="5" t="s">
        <v>892</v>
      </c>
      <c r="L302" s="5"/>
      <c r="M302" s="5" t="s">
        <v>392</v>
      </c>
      <c r="N302" s="5"/>
      <c r="O302" s="5"/>
      <c r="P302" s="290">
        <v>1.35</v>
      </c>
      <c r="Q302" s="91"/>
      <c r="R302" s="91"/>
      <c r="S302" s="91"/>
      <c r="T302" s="91"/>
      <c r="U302" s="91"/>
      <c r="V302" s="99">
        <f t="shared" si="7"/>
        <v>1.35</v>
      </c>
      <c r="W302" s="34"/>
      <c r="X302" s="34" t="s">
        <v>305</v>
      </c>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c r="AW302" s="34"/>
      <c r="AX302" s="34"/>
      <c r="AY302" s="34"/>
      <c r="AZ302" s="34"/>
      <c r="BA302" s="5"/>
    </row>
    <row r="303" spans="1:53" ht="15.75" thickBot="1" x14ac:dyDescent="0.3">
      <c r="A303" s="24" t="s">
        <v>305</v>
      </c>
      <c r="B303" s="24" t="s">
        <v>306</v>
      </c>
      <c r="C303" s="24" t="s">
        <v>306</v>
      </c>
      <c r="D303" s="24" t="s">
        <v>306</v>
      </c>
      <c r="E303" s="24" t="s">
        <v>306</v>
      </c>
      <c r="F303" s="24" t="s">
        <v>306</v>
      </c>
      <c r="G303" s="24" t="s">
        <v>306</v>
      </c>
      <c r="H303" s="24" t="s">
        <v>306</v>
      </c>
      <c r="I303" s="192" t="s">
        <v>306</v>
      </c>
      <c r="J303" s="193" t="s">
        <v>975</v>
      </c>
      <c r="K303" s="5" t="s">
        <v>893</v>
      </c>
      <c r="L303" s="5"/>
      <c r="M303" s="5" t="s">
        <v>392</v>
      </c>
      <c r="N303" s="5"/>
      <c r="O303" s="5"/>
      <c r="P303" s="290">
        <v>1.47</v>
      </c>
      <c r="Q303" s="91"/>
      <c r="R303" s="91"/>
      <c r="S303" s="91"/>
      <c r="T303" s="91"/>
      <c r="U303" s="91"/>
      <c r="V303" s="99">
        <f t="shared" si="7"/>
        <v>1.47</v>
      </c>
      <c r="W303" s="34"/>
      <c r="X303" s="34" t="s">
        <v>305</v>
      </c>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c r="AW303" s="34"/>
      <c r="AX303" s="34"/>
      <c r="AY303" s="34"/>
      <c r="AZ303" s="34"/>
      <c r="BA303" s="5"/>
    </row>
    <row r="304" spans="1:53" ht="15.75" thickBot="1" x14ac:dyDescent="0.3">
      <c r="A304" s="24" t="s">
        <v>305</v>
      </c>
      <c r="B304" s="24" t="s">
        <v>306</v>
      </c>
      <c r="C304" s="24" t="s">
        <v>306</v>
      </c>
      <c r="D304" s="24" t="s">
        <v>306</v>
      </c>
      <c r="E304" s="24" t="s">
        <v>306</v>
      </c>
      <c r="F304" s="24" t="s">
        <v>306</v>
      </c>
      <c r="G304" s="24" t="s">
        <v>306</v>
      </c>
      <c r="H304" s="24" t="s">
        <v>306</v>
      </c>
      <c r="I304" s="192" t="s">
        <v>306</v>
      </c>
      <c r="J304" s="193" t="s">
        <v>975</v>
      </c>
      <c r="K304" s="5" t="s">
        <v>894</v>
      </c>
      <c r="L304" s="5"/>
      <c r="M304" s="5" t="s">
        <v>392</v>
      </c>
      <c r="N304" s="5"/>
      <c r="O304" s="5"/>
      <c r="P304" s="290">
        <v>1639</v>
      </c>
      <c r="Q304" s="91"/>
      <c r="R304" s="91"/>
      <c r="S304" s="91"/>
      <c r="T304" s="91"/>
      <c r="U304" s="91"/>
      <c r="V304" s="99">
        <f t="shared" si="7"/>
        <v>1639</v>
      </c>
      <c r="W304" s="34"/>
      <c r="X304" s="34" t="s">
        <v>305</v>
      </c>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c r="AX304" s="34"/>
      <c r="AY304" s="34"/>
      <c r="AZ304" s="34"/>
      <c r="BA304" s="5"/>
    </row>
    <row r="305" spans="1:53" ht="15.75" thickBot="1" x14ac:dyDescent="0.3">
      <c r="A305" s="24" t="s">
        <v>305</v>
      </c>
      <c r="B305" s="24" t="s">
        <v>306</v>
      </c>
      <c r="C305" s="24" t="s">
        <v>306</v>
      </c>
      <c r="D305" s="24" t="s">
        <v>306</v>
      </c>
      <c r="E305" s="24" t="s">
        <v>306</v>
      </c>
      <c r="F305" s="24" t="s">
        <v>306</v>
      </c>
      <c r="G305" s="24" t="s">
        <v>306</v>
      </c>
      <c r="H305" s="24" t="s">
        <v>306</v>
      </c>
      <c r="I305" s="192" t="s">
        <v>306</v>
      </c>
      <c r="J305" s="193" t="s">
        <v>975</v>
      </c>
      <c r="K305" s="5" t="s">
        <v>895</v>
      </c>
      <c r="L305" s="5"/>
      <c r="M305" s="5" t="s">
        <v>392</v>
      </c>
      <c r="N305" s="5"/>
      <c r="O305" s="5"/>
      <c r="P305" s="290">
        <v>2059</v>
      </c>
      <c r="Q305" s="91"/>
      <c r="R305" s="91"/>
      <c r="S305" s="91"/>
      <c r="T305" s="91"/>
      <c r="U305" s="91"/>
      <c r="V305" s="99">
        <f t="shared" si="7"/>
        <v>2059</v>
      </c>
      <c r="W305" s="34"/>
      <c r="X305" s="34" t="s">
        <v>305</v>
      </c>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5"/>
    </row>
    <row r="306" spans="1:53" ht="15.75" thickBot="1" x14ac:dyDescent="0.3">
      <c r="A306" s="24" t="s">
        <v>305</v>
      </c>
      <c r="B306" s="24" t="s">
        <v>306</v>
      </c>
      <c r="C306" s="24" t="s">
        <v>306</v>
      </c>
      <c r="D306" s="24" t="s">
        <v>306</v>
      </c>
      <c r="E306" s="24" t="s">
        <v>306</v>
      </c>
      <c r="F306" s="24" t="s">
        <v>306</v>
      </c>
      <c r="G306" s="24" t="s">
        <v>306</v>
      </c>
      <c r="H306" s="24" t="s">
        <v>306</v>
      </c>
      <c r="I306" s="192" t="s">
        <v>306</v>
      </c>
      <c r="J306" s="193" t="s">
        <v>975</v>
      </c>
      <c r="K306" s="5" t="s">
        <v>896</v>
      </c>
      <c r="L306" s="5"/>
      <c r="M306" s="5" t="s">
        <v>392</v>
      </c>
      <c r="N306" s="5"/>
      <c r="O306" s="5"/>
      <c r="P306" s="290">
        <v>1828</v>
      </c>
      <c r="Q306" s="91"/>
      <c r="R306" s="91"/>
      <c r="S306" s="91"/>
      <c r="T306" s="91"/>
      <c r="U306" s="91"/>
      <c r="V306" s="99">
        <f t="shared" si="7"/>
        <v>1828</v>
      </c>
      <c r="W306" s="34"/>
      <c r="X306" s="34" t="s">
        <v>305</v>
      </c>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5"/>
    </row>
    <row r="307" spans="1:53" ht="15.75" thickBot="1" x14ac:dyDescent="0.3">
      <c r="A307" s="24" t="s">
        <v>305</v>
      </c>
      <c r="B307" s="24" t="s">
        <v>306</v>
      </c>
      <c r="C307" s="24" t="s">
        <v>306</v>
      </c>
      <c r="D307" s="24" t="s">
        <v>306</v>
      </c>
      <c r="E307" s="24" t="s">
        <v>306</v>
      </c>
      <c r="F307" s="24" t="s">
        <v>306</v>
      </c>
      <c r="G307" s="24" t="s">
        <v>306</v>
      </c>
      <c r="H307" s="24" t="s">
        <v>306</v>
      </c>
      <c r="I307" s="192" t="s">
        <v>306</v>
      </c>
      <c r="J307" s="193" t="s">
        <v>975</v>
      </c>
      <c r="K307" s="5" t="s">
        <v>897</v>
      </c>
      <c r="L307" s="5"/>
      <c r="M307" s="5" t="s">
        <v>392</v>
      </c>
      <c r="N307" s="5"/>
      <c r="O307" s="5"/>
      <c r="P307" s="290">
        <v>156</v>
      </c>
      <c r="Q307" s="91"/>
      <c r="R307" s="91"/>
      <c r="S307" s="91"/>
      <c r="T307" s="91"/>
      <c r="U307" s="91"/>
      <c r="V307" s="99">
        <f t="shared" si="7"/>
        <v>156</v>
      </c>
      <c r="W307" s="34"/>
      <c r="X307" s="34" t="s">
        <v>305</v>
      </c>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c r="AX307" s="34"/>
      <c r="AY307" s="34"/>
      <c r="AZ307" s="34"/>
      <c r="BA307" s="5"/>
    </row>
    <row r="308" spans="1:53" ht="15.75" thickBot="1" x14ac:dyDescent="0.3">
      <c r="A308" s="24" t="s">
        <v>305</v>
      </c>
      <c r="B308" s="24" t="s">
        <v>306</v>
      </c>
      <c r="C308" s="24" t="s">
        <v>306</v>
      </c>
      <c r="D308" s="24" t="s">
        <v>306</v>
      </c>
      <c r="E308" s="24" t="s">
        <v>306</v>
      </c>
      <c r="F308" s="24" t="s">
        <v>306</v>
      </c>
      <c r="G308" s="24" t="s">
        <v>306</v>
      </c>
      <c r="H308" s="24" t="s">
        <v>306</v>
      </c>
      <c r="I308" s="192" t="s">
        <v>306</v>
      </c>
      <c r="J308" s="193" t="s">
        <v>975</v>
      </c>
      <c r="K308" s="5" t="s">
        <v>898</v>
      </c>
      <c r="L308" s="5"/>
      <c r="M308" s="5" t="s">
        <v>392</v>
      </c>
      <c r="N308" s="5"/>
      <c r="O308" s="5"/>
      <c r="P308" s="290">
        <v>0.23</v>
      </c>
      <c r="Q308" s="91"/>
      <c r="R308" s="91"/>
      <c r="S308" s="91"/>
      <c r="T308" s="91"/>
      <c r="U308" s="91"/>
      <c r="V308" s="99">
        <f t="shared" si="7"/>
        <v>0.23</v>
      </c>
      <c r="W308" s="34"/>
      <c r="X308" s="34" t="s">
        <v>305</v>
      </c>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34"/>
      <c r="AY308" s="34"/>
      <c r="AZ308" s="34"/>
      <c r="BA308" s="5"/>
    </row>
    <row r="309" spans="1:53" ht="15.75" thickBot="1" x14ac:dyDescent="0.3">
      <c r="A309" s="24" t="s">
        <v>305</v>
      </c>
      <c r="B309" s="24" t="s">
        <v>306</v>
      </c>
      <c r="C309" s="24" t="s">
        <v>306</v>
      </c>
      <c r="D309" s="24" t="s">
        <v>306</v>
      </c>
      <c r="E309" s="24" t="s">
        <v>306</v>
      </c>
      <c r="F309" s="24" t="s">
        <v>306</v>
      </c>
      <c r="G309" s="24" t="s">
        <v>306</v>
      </c>
      <c r="H309" s="24" t="s">
        <v>306</v>
      </c>
      <c r="I309" s="192" t="s">
        <v>306</v>
      </c>
      <c r="J309" s="193" t="s">
        <v>975</v>
      </c>
      <c r="K309" s="5" t="s">
        <v>899</v>
      </c>
      <c r="L309" s="5"/>
      <c r="M309" s="5" t="s">
        <v>392</v>
      </c>
      <c r="N309" s="5"/>
      <c r="O309" s="5"/>
      <c r="P309" s="290">
        <v>1754</v>
      </c>
      <c r="Q309" s="91"/>
      <c r="R309" s="91"/>
      <c r="S309" s="91"/>
      <c r="T309" s="91"/>
      <c r="U309" s="91"/>
      <c r="V309" s="99">
        <f t="shared" si="7"/>
        <v>1754</v>
      </c>
      <c r="W309" s="34"/>
      <c r="X309" s="34" t="s">
        <v>305</v>
      </c>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c r="AW309" s="34"/>
      <c r="AX309" s="34"/>
      <c r="AY309" s="34"/>
      <c r="AZ309" s="34"/>
      <c r="BA309" s="5"/>
    </row>
    <row r="310" spans="1:53" ht="15.75" thickBot="1" x14ac:dyDescent="0.3">
      <c r="A310" s="24" t="s">
        <v>305</v>
      </c>
      <c r="B310" s="24" t="s">
        <v>306</v>
      </c>
      <c r="C310" s="24" t="s">
        <v>306</v>
      </c>
      <c r="D310" s="24" t="s">
        <v>306</v>
      </c>
      <c r="E310" s="24" t="s">
        <v>306</v>
      </c>
      <c r="F310" s="24" t="s">
        <v>306</v>
      </c>
      <c r="G310" s="24" t="s">
        <v>306</v>
      </c>
      <c r="H310" s="24" t="s">
        <v>306</v>
      </c>
      <c r="I310" s="192" t="s">
        <v>306</v>
      </c>
      <c r="J310" s="193" t="s">
        <v>975</v>
      </c>
      <c r="K310" s="5" t="s">
        <v>900</v>
      </c>
      <c r="L310" s="5"/>
      <c r="M310" s="5" t="s">
        <v>392</v>
      </c>
      <c r="N310" s="5"/>
      <c r="O310" s="5"/>
      <c r="P310" s="290">
        <v>1</v>
      </c>
      <c r="Q310" s="91"/>
      <c r="R310" s="91"/>
      <c r="S310" s="91"/>
      <c r="T310" s="91"/>
      <c r="U310" s="91"/>
      <c r="V310" s="99">
        <f t="shared" si="7"/>
        <v>1</v>
      </c>
      <c r="W310" s="34"/>
      <c r="X310" s="34" t="s">
        <v>305</v>
      </c>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c r="AX310" s="34"/>
      <c r="AY310" s="34"/>
      <c r="AZ310" s="34"/>
      <c r="BA310" s="5"/>
    </row>
    <row r="311" spans="1:53" ht="15.75" thickBot="1" x14ac:dyDescent="0.3">
      <c r="A311" s="24" t="s">
        <v>305</v>
      </c>
      <c r="B311" s="24" t="s">
        <v>306</v>
      </c>
      <c r="C311" s="24" t="s">
        <v>306</v>
      </c>
      <c r="D311" s="24" t="s">
        <v>306</v>
      </c>
      <c r="E311" s="24" t="s">
        <v>306</v>
      </c>
      <c r="F311" s="24" t="s">
        <v>306</v>
      </c>
      <c r="G311" s="24" t="s">
        <v>306</v>
      </c>
      <c r="H311" s="24" t="s">
        <v>306</v>
      </c>
      <c r="I311" s="192" t="s">
        <v>306</v>
      </c>
      <c r="J311" s="193" t="s">
        <v>975</v>
      </c>
      <c r="K311" s="5" t="s">
        <v>901</v>
      </c>
      <c r="L311" s="5"/>
      <c r="M311" s="5" t="s">
        <v>392</v>
      </c>
      <c r="N311" s="5"/>
      <c r="O311" s="5"/>
      <c r="P311" s="290">
        <v>89</v>
      </c>
      <c r="Q311" s="91"/>
      <c r="R311" s="91"/>
      <c r="S311" s="91"/>
      <c r="T311" s="91"/>
      <c r="U311" s="91"/>
      <c r="V311" s="99">
        <f t="shared" si="7"/>
        <v>89</v>
      </c>
      <c r="W311" s="34"/>
      <c r="X311" s="34" t="s">
        <v>305</v>
      </c>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c r="AX311" s="34"/>
      <c r="AY311" s="34"/>
      <c r="AZ311" s="34"/>
      <c r="BA311" s="5"/>
    </row>
    <row r="312" spans="1:53" ht="15.75" thickBot="1" x14ac:dyDescent="0.3">
      <c r="A312" s="24" t="s">
        <v>305</v>
      </c>
      <c r="B312" s="24" t="s">
        <v>306</v>
      </c>
      <c r="C312" s="24" t="s">
        <v>306</v>
      </c>
      <c r="D312" s="24" t="s">
        <v>306</v>
      </c>
      <c r="E312" s="24" t="s">
        <v>306</v>
      </c>
      <c r="F312" s="24" t="s">
        <v>306</v>
      </c>
      <c r="G312" s="24" t="s">
        <v>306</v>
      </c>
      <c r="H312" s="24" t="s">
        <v>306</v>
      </c>
      <c r="I312" s="192" t="s">
        <v>306</v>
      </c>
      <c r="J312" s="193" t="s">
        <v>975</v>
      </c>
      <c r="K312" s="5" t="s">
        <v>902</v>
      </c>
      <c r="L312" s="5"/>
      <c r="M312" s="5" t="s">
        <v>392</v>
      </c>
      <c r="N312" s="5"/>
      <c r="O312" s="5"/>
      <c r="P312" s="290">
        <v>118</v>
      </c>
      <c r="Q312" s="91"/>
      <c r="R312" s="91"/>
      <c r="S312" s="91"/>
      <c r="T312" s="91"/>
      <c r="U312" s="91"/>
      <c r="V312" s="99">
        <f t="shared" si="7"/>
        <v>118</v>
      </c>
      <c r="W312" s="34"/>
      <c r="X312" s="34" t="s">
        <v>305</v>
      </c>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c r="AX312" s="34"/>
      <c r="AY312" s="34"/>
      <c r="AZ312" s="34"/>
      <c r="BA312" s="5"/>
    </row>
    <row r="313" spans="1:53" ht="15.75" thickBot="1" x14ac:dyDescent="0.3">
      <c r="A313" s="24" t="s">
        <v>305</v>
      </c>
      <c r="B313" s="24" t="s">
        <v>306</v>
      </c>
      <c r="C313" s="24" t="s">
        <v>306</v>
      </c>
      <c r="D313" s="24" t="s">
        <v>306</v>
      </c>
      <c r="E313" s="24" t="s">
        <v>306</v>
      </c>
      <c r="F313" s="24" t="s">
        <v>306</v>
      </c>
      <c r="G313" s="24" t="s">
        <v>306</v>
      </c>
      <c r="H313" s="24" t="s">
        <v>306</v>
      </c>
      <c r="I313" s="192" t="s">
        <v>306</v>
      </c>
      <c r="J313" s="193" t="s">
        <v>975</v>
      </c>
      <c r="K313" s="5" t="s">
        <v>903</v>
      </c>
      <c r="L313" s="5"/>
      <c r="M313" s="5" t="s">
        <v>392</v>
      </c>
      <c r="N313" s="5"/>
      <c r="O313" s="5"/>
      <c r="P313" s="290">
        <v>7564</v>
      </c>
      <c r="Q313" s="91"/>
      <c r="R313" s="91"/>
      <c r="S313" s="91"/>
      <c r="T313" s="91"/>
      <c r="U313" s="91"/>
      <c r="V313" s="99">
        <f t="shared" si="7"/>
        <v>7564</v>
      </c>
      <c r="W313" s="34"/>
      <c r="X313" s="34" t="s">
        <v>305</v>
      </c>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5"/>
    </row>
    <row r="314" spans="1:53" ht="15.75" thickBot="1" x14ac:dyDescent="0.3">
      <c r="A314" s="24" t="s">
        <v>305</v>
      </c>
      <c r="B314" s="24" t="s">
        <v>306</v>
      </c>
      <c r="C314" s="24" t="s">
        <v>306</v>
      </c>
      <c r="D314" s="24" t="s">
        <v>306</v>
      </c>
      <c r="E314" s="24" t="s">
        <v>306</v>
      </c>
      <c r="F314" s="24" t="s">
        <v>306</v>
      </c>
      <c r="G314" s="24" t="s">
        <v>306</v>
      </c>
      <c r="H314" s="24" t="s">
        <v>306</v>
      </c>
      <c r="I314" s="192" t="s">
        <v>306</v>
      </c>
      <c r="J314" s="193" t="s">
        <v>975</v>
      </c>
      <c r="K314" s="5" t="s">
        <v>904</v>
      </c>
      <c r="L314" s="5"/>
      <c r="M314" s="5" t="s">
        <v>392</v>
      </c>
      <c r="N314" s="5"/>
      <c r="O314" s="5"/>
      <c r="P314" s="290">
        <v>3870</v>
      </c>
      <c r="Q314" s="91"/>
      <c r="R314" s="91"/>
      <c r="S314" s="91"/>
      <c r="T314" s="91"/>
      <c r="U314" s="91"/>
      <c r="V314" s="99">
        <f t="shared" si="7"/>
        <v>3870</v>
      </c>
      <c r="W314" s="34"/>
      <c r="X314" s="34" t="s">
        <v>305</v>
      </c>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c r="AW314" s="34"/>
      <c r="AX314" s="34"/>
      <c r="AY314" s="34"/>
      <c r="AZ314" s="34"/>
      <c r="BA314" s="5"/>
    </row>
    <row r="315" spans="1:53" ht="15.75" thickBot="1" x14ac:dyDescent="0.3">
      <c r="A315" s="24" t="s">
        <v>305</v>
      </c>
      <c r="B315" s="24" t="s">
        <v>306</v>
      </c>
      <c r="C315" s="24" t="s">
        <v>306</v>
      </c>
      <c r="D315" s="24" t="s">
        <v>306</v>
      </c>
      <c r="E315" s="24" t="s">
        <v>306</v>
      </c>
      <c r="F315" s="24" t="s">
        <v>306</v>
      </c>
      <c r="G315" s="24" t="s">
        <v>306</v>
      </c>
      <c r="H315" s="24" t="s">
        <v>306</v>
      </c>
      <c r="I315" s="192" t="s">
        <v>306</v>
      </c>
      <c r="J315" s="193" t="s">
        <v>975</v>
      </c>
      <c r="K315" s="5" t="s">
        <v>905</v>
      </c>
      <c r="L315" s="5"/>
      <c r="M315" s="5" t="s">
        <v>392</v>
      </c>
      <c r="N315" s="5"/>
      <c r="O315" s="5"/>
      <c r="P315" s="290">
        <v>4786</v>
      </c>
      <c r="Q315" s="91"/>
      <c r="R315" s="91"/>
      <c r="S315" s="91"/>
      <c r="T315" s="91"/>
      <c r="U315" s="91"/>
      <c r="V315" s="99">
        <f t="shared" si="7"/>
        <v>4786</v>
      </c>
      <c r="W315" s="34"/>
      <c r="X315" s="34" t="s">
        <v>305</v>
      </c>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c r="AW315" s="34"/>
      <c r="AX315" s="34"/>
      <c r="AY315" s="34"/>
      <c r="AZ315" s="34"/>
      <c r="BA315" s="5"/>
    </row>
    <row r="316" spans="1:53" ht="15.75" thickBot="1" x14ac:dyDescent="0.3">
      <c r="A316" s="24" t="s">
        <v>305</v>
      </c>
      <c r="B316" s="24" t="s">
        <v>306</v>
      </c>
      <c r="C316" s="24" t="s">
        <v>306</v>
      </c>
      <c r="D316" s="24" t="s">
        <v>306</v>
      </c>
      <c r="E316" s="24" t="s">
        <v>306</v>
      </c>
      <c r="F316" s="24" t="s">
        <v>306</v>
      </c>
      <c r="G316" s="24" t="s">
        <v>306</v>
      </c>
      <c r="H316" s="24" t="s">
        <v>306</v>
      </c>
      <c r="I316" s="192" t="s">
        <v>306</v>
      </c>
      <c r="J316" s="193" t="s">
        <v>975</v>
      </c>
      <c r="K316" s="5" t="s">
        <v>906</v>
      </c>
      <c r="L316" s="5"/>
      <c r="M316" s="5" t="s">
        <v>392</v>
      </c>
      <c r="N316" s="5"/>
      <c r="O316" s="5"/>
      <c r="P316" s="290">
        <v>13299</v>
      </c>
      <c r="Q316" s="91"/>
      <c r="R316" s="91"/>
      <c r="S316" s="91"/>
      <c r="T316" s="91"/>
      <c r="U316" s="91"/>
      <c r="V316" s="99">
        <f t="shared" si="7"/>
        <v>13299</v>
      </c>
      <c r="W316" s="34"/>
      <c r="X316" s="34" t="s">
        <v>305</v>
      </c>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c r="AW316" s="34"/>
      <c r="AX316" s="34"/>
      <c r="AY316" s="34"/>
      <c r="AZ316" s="34"/>
      <c r="BA316" s="5"/>
    </row>
    <row r="317" spans="1:53" ht="15.75" thickBot="1" x14ac:dyDescent="0.3">
      <c r="A317" s="24" t="s">
        <v>305</v>
      </c>
      <c r="B317" s="24" t="s">
        <v>306</v>
      </c>
      <c r="C317" s="24" t="s">
        <v>306</v>
      </c>
      <c r="D317" s="24" t="s">
        <v>306</v>
      </c>
      <c r="E317" s="24" t="s">
        <v>306</v>
      </c>
      <c r="F317" s="24" t="s">
        <v>306</v>
      </c>
      <c r="G317" s="24" t="s">
        <v>306</v>
      </c>
      <c r="H317" s="24" t="s">
        <v>306</v>
      </c>
      <c r="I317" s="192" t="s">
        <v>306</v>
      </c>
      <c r="J317" s="193" t="s">
        <v>975</v>
      </c>
      <c r="K317" s="5" t="s">
        <v>907</v>
      </c>
      <c r="L317" s="5"/>
      <c r="M317" s="5" t="s">
        <v>392</v>
      </c>
      <c r="N317" s="5"/>
      <c r="O317" s="5"/>
      <c r="P317" s="290">
        <v>4299</v>
      </c>
      <c r="Q317" s="91"/>
      <c r="R317" s="91"/>
      <c r="S317" s="91"/>
      <c r="T317" s="91"/>
      <c r="U317" s="91"/>
      <c r="V317" s="99">
        <f t="shared" si="7"/>
        <v>4299</v>
      </c>
      <c r="W317" s="34"/>
      <c r="X317" s="34" t="s">
        <v>305</v>
      </c>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c r="AW317" s="34"/>
      <c r="AX317" s="34"/>
      <c r="AY317" s="34"/>
      <c r="AZ317" s="34"/>
      <c r="BA317" s="5"/>
    </row>
    <row r="318" spans="1:53" ht="15.75" thickBot="1" x14ac:dyDescent="0.3">
      <c r="A318" s="24" t="s">
        <v>305</v>
      </c>
      <c r="B318" s="24" t="s">
        <v>306</v>
      </c>
      <c r="C318" s="24" t="s">
        <v>306</v>
      </c>
      <c r="D318" s="24" t="s">
        <v>306</v>
      </c>
      <c r="E318" s="24" t="s">
        <v>306</v>
      </c>
      <c r="F318" s="24" t="s">
        <v>306</v>
      </c>
      <c r="G318" s="24" t="s">
        <v>306</v>
      </c>
      <c r="H318" s="24" t="s">
        <v>306</v>
      </c>
      <c r="I318" s="192" t="s">
        <v>306</v>
      </c>
      <c r="J318" s="193" t="s">
        <v>975</v>
      </c>
      <c r="K318" s="5" t="s">
        <v>908</v>
      </c>
      <c r="L318" s="5"/>
      <c r="M318" s="5" t="s">
        <v>392</v>
      </c>
      <c r="N318" s="5"/>
      <c r="O318" s="5"/>
      <c r="P318" s="290">
        <v>7956</v>
      </c>
      <c r="Q318" s="91"/>
      <c r="R318" s="91"/>
      <c r="S318" s="91"/>
      <c r="T318" s="91"/>
      <c r="U318" s="91"/>
      <c r="V318" s="99">
        <f t="shared" si="7"/>
        <v>7956</v>
      </c>
      <c r="W318" s="34"/>
      <c r="X318" s="34" t="s">
        <v>305</v>
      </c>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5"/>
    </row>
    <row r="319" spans="1:53" ht="15.75" thickBot="1" x14ac:dyDescent="0.3">
      <c r="A319" s="24" t="s">
        <v>305</v>
      </c>
      <c r="B319" s="24" t="s">
        <v>306</v>
      </c>
      <c r="C319" s="24" t="s">
        <v>306</v>
      </c>
      <c r="D319" s="24" t="s">
        <v>306</v>
      </c>
      <c r="E319" s="24" t="s">
        <v>306</v>
      </c>
      <c r="F319" s="24" t="s">
        <v>306</v>
      </c>
      <c r="G319" s="24" t="s">
        <v>306</v>
      </c>
      <c r="H319" s="24" t="s">
        <v>306</v>
      </c>
      <c r="I319" s="192" t="s">
        <v>306</v>
      </c>
      <c r="J319" s="193" t="s">
        <v>975</v>
      </c>
      <c r="K319" s="5" t="s">
        <v>909</v>
      </c>
      <c r="L319" s="5"/>
      <c r="M319" s="5" t="s">
        <v>392</v>
      </c>
      <c r="N319" s="5"/>
      <c r="O319" s="5"/>
      <c r="P319" s="290">
        <v>3857</v>
      </c>
      <c r="Q319" s="91"/>
      <c r="R319" s="91"/>
      <c r="S319" s="91"/>
      <c r="T319" s="91"/>
      <c r="U319" s="91"/>
      <c r="V319" s="99">
        <f t="shared" si="7"/>
        <v>3857</v>
      </c>
      <c r="W319" s="34"/>
      <c r="X319" s="34" t="s">
        <v>305</v>
      </c>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c r="AW319" s="34"/>
      <c r="AX319" s="34"/>
      <c r="AY319" s="34"/>
      <c r="AZ319" s="34"/>
      <c r="BA319" s="5"/>
    </row>
    <row r="320" spans="1:53" ht="15.75" thickBot="1" x14ac:dyDescent="0.3">
      <c r="A320" s="24" t="s">
        <v>305</v>
      </c>
      <c r="B320" s="24" t="s">
        <v>306</v>
      </c>
      <c r="C320" s="24" t="s">
        <v>306</v>
      </c>
      <c r="D320" s="24" t="s">
        <v>306</v>
      </c>
      <c r="E320" s="24" t="s">
        <v>306</v>
      </c>
      <c r="F320" s="24" t="s">
        <v>306</v>
      </c>
      <c r="G320" s="24" t="s">
        <v>306</v>
      </c>
      <c r="H320" s="24" t="s">
        <v>306</v>
      </c>
      <c r="I320" s="192" t="s">
        <v>306</v>
      </c>
      <c r="J320" s="193" t="s">
        <v>975</v>
      </c>
      <c r="K320" s="5" t="s">
        <v>910</v>
      </c>
      <c r="L320" s="5"/>
      <c r="M320" s="5" t="s">
        <v>392</v>
      </c>
      <c r="N320" s="5"/>
      <c r="O320" s="5"/>
      <c r="P320" s="290">
        <v>3985</v>
      </c>
      <c r="Q320" s="91"/>
      <c r="R320" s="91"/>
      <c r="S320" s="91"/>
      <c r="T320" s="91"/>
      <c r="U320" s="91"/>
      <c r="V320" s="99">
        <f t="shared" si="7"/>
        <v>3985</v>
      </c>
      <c r="W320" s="34"/>
      <c r="X320" s="34" t="s">
        <v>305</v>
      </c>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c r="AW320" s="34"/>
      <c r="AX320" s="34"/>
      <c r="AY320" s="34"/>
      <c r="AZ320" s="34"/>
      <c r="BA320" s="5"/>
    </row>
    <row r="321" spans="1:53" ht="15.75" thickBot="1" x14ac:dyDescent="0.3">
      <c r="A321" s="24" t="s">
        <v>305</v>
      </c>
      <c r="B321" s="24" t="s">
        <v>306</v>
      </c>
      <c r="C321" s="24" t="s">
        <v>306</v>
      </c>
      <c r="D321" s="24" t="s">
        <v>306</v>
      </c>
      <c r="E321" s="24" t="s">
        <v>306</v>
      </c>
      <c r="F321" s="24" t="s">
        <v>306</v>
      </c>
      <c r="G321" s="24" t="s">
        <v>306</v>
      </c>
      <c r="H321" s="24" t="s">
        <v>306</v>
      </c>
      <c r="I321" s="192" t="s">
        <v>306</v>
      </c>
      <c r="J321" s="193" t="s">
        <v>975</v>
      </c>
      <c r="K321" s="5" t="s">
        <v>911</v>
      </c>
      <c r="L321" s="5"/>
      <c r="M321" s="5" t="s">
        <v>392</v>
      </c>
      <c r="N321" s="5"/>
      <c r="O321" s="5"/>
      <c r="P321" s="290">
        <v>11607</v>
      </c>
      <c r="Q321" s="91"/>
      <c r="R321" s="91"/>
      <c r="S321" s="91"/>
      <c r="T321" s="91"/>
      <c r="U321" s="91"/>
      <c r="V321" s="99">
        <f t="shared" si="7"/>
        <v>11607</v>
      </c>
      <c r="W321" s="34"/>
      <c r="X321" s="34" t="s">
        <v>305</v>
      </c>
      <c r="Y321" s="34"/>
      <c r="Z321" s="34"/>
      <c r="AA321" s="34"/>
      <c r="AB321" s="34"/>
      <c r="AC321" s="34"/>
      <c r="AD321" s="34"/>
      <c r="AE321" s="34"/>
      <c r="AF321" s="34"/>
      <c r="AG321" s="34"/>
      <c r="AH321" s="34"/>
      <c r="AI321" s="34"/>
      <c r="AJ321" s="34"/>
      <c r="AK321" s="34"/>
      <c r="AL321" s="34"/>
      <c r="AM321" s="34"/>
      <c r="AN321" s="34"/>
      <c r="AO321" s="34"/>
      <c r="AP321" s="34"/>
      <c r="AQ321" s="34"/>
      <c r="AR321" s="34"/>
      <c r="AS321" s="34"/>
      <c r="AT321" s="34"/>
      <c r="AU321" s="34"/>
      <c r="AV321" s="34"/>
      <c r="AW321" s="34"/>
      <c r="AX321" s="34"/>
      <c r="AY321" s="34"/>
      <c r="AZ321" s="34"/>
      <c r="BA321" s="5"/>
    </row>
    <row r="322" spans="1:53" ht="15.75" thickBot="1" x14ac:dyDescent="0.3">
      <c r="A322" s="24" t="s">
        <v>305</v>
      </c>
      <c r="B322" s="24" t="s">
        <v>306</v>
      </c>
      <c r="C322" s="24" t="s">
        <v>306</v>
      </c>
      <c r="D322" s="24" t="s">
        <v>306</v>
      </c>
      <c r="E322" s="24" t="s">
        <v>306</v>
      </c>
      <c r="F322" s="24" t="s">
        <v>306</v>
      </c>
      <c r="G322" s="24" t="s">
        <v>306</v>
      </c>
      <c r="H322" s="24" t="s">
        <v>306</v>
      </c>
      <c r="I322" s="192" t="s">
        <v>306</v>
      </c>
      <c r="J322" s="193" t="s">
        <v>975</v>
      </c>
      <c r="K322" s="5" t="s">
        <v>912</v>
      </c>
      <c r="L322" s="5"/>
      <c r="M322" s="5" t="s">
        <v>392</v>
      </c>
      <c r="N322" s="5"/>
      <c r="O322" s="5"/>
      <c r="P322" s="290">
        <v>11698</v>
      </c>
      <c r="Q322" s="91"/>
      <c r="R322" s="91"/>
      <c r="S322" s="91"/>
      <c r="T322" s="91"/>
      <c r="U322" s="91"/>
      <c r="V322" s="99">
        <f t="shared" si="7"/>
        <v>11698</v>
      </c>
      <c r="W322" s="34"/>
      <c r="X322" s="34" t="s">
        <v>305</v>
      </c>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c r="AW322" s="34"/>
      <c r="AX322" s="34"/>
      <c r="AY322" s="34"/>
      <c r="AZ322" s="34"/>
      <c r="BA322" s="5"/>
    </row>
    <row r="323" spans="1:53" ht="15.75" thickBot="1" x14ac:dyDescent="0.3">
      <c r="A323" s="24" t="s">
        <v>305</v>
      </c>
      <c r="B323" s="24" t="s">
        <v>306</v>
      </c>
      <c r="C323" s="24" t="s">
        <v>306</v>
      </c>
      <c r="D323" s="24" t="s">
        <v>306</v>
      </c>
      <c r="E323" s="24" t="s">
        <v>306</v>
      </c>
      <c r="F323" s="24" t="s">
        <v>306</v>
      </c>
      <c r="G323" s="24" t="s">
        <v>306</v>
      </c>
      <c r="H323" s="24" t="s">
        <v>306</v>
      </c>
      <c r="I323" s="192" t="s">
        <v>306</v>
      </c>
      <c r="J323" s="193" t="s">
        <v>975</v>
      </c>
      <c r="K323" s="5" t="s">
        <v>913</v>
      </c>
      <c r="L323" s="5"/>
      <c r="M323" s="5" t="s">
        <v>392</v>
      </c>
      <c r="N323" s="5"/>
      <c r="O323" s="5"/>
      <c r="P323" s="290">
        <v>5758</v>
      </c>
      <c r="Q323" s="91"/>
      <c r="R323" s="91"/>
      <c r="S323" s="91"/>
      <c r="T323" s="91"/>
      <c r="U323" s="91"/>
      <c r="V323" s="99">
        <f t="shared" si="7"/>
        <v>5758</v>
      </c>
      <c r="W323" s="34"/>
      <c r="X323" s="34" t="s">
        <v>305</v>
      </c>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c r="AW323" s="34"/>
      <c r="AX323" s="34"/>
      <c r="AY323" s="34"/>
      <c r="AZ323" s="34"/>
      <c r="BA323" s="5"/>
    </row>
    <row r="324" spans="1:53" ht="15.75" thickBot="1" x14ac:dyDescent="0.3">
      <c r="A324" s="24" t="s">
        <v>305</v>
      </c>
      <c r="B324" s="24" t="s">
        <v>306</v>
      </c>
      <c r="C324" s="24" t="s">
        <v>306</v>
      </c>
      <c r="D324" s="24" t="s">
        <v>306</v>
      </c>
      <c r="E324" s="24" t="s">
        <v>306</v>
      </c>
      <c r="F324" s="24" t="s">
        <v>306</v>
      </c>
      <c r="G324" s="24" t="s">
        <v>306</v>
      </c>
      <c r="H324" s="24" t="s">
        <v>306</v>
      </c>
      <c r="I324" s="192" t="s">
        <v>306</v>
      </c>
      <c r="J324" s="193" t="s">
        <v>975</v>
      </c>
      <c r="K324" s="5" t="s">
        <v>914</v>
      </c>
      <c r="L324" s="5"/>
      <c r="M324" s="5" t="s">
        <v>392</v>
      </c>
      <c r="N324" s="5"/>
      <c r="O324" s="5"/>
      <c r="P324" s="290">
        <v>1.24</v>
      </c>
      <c r="Q324" s="91"/>
      <c r="R324" s="91"/>
      <c r="S324" s="91"/>
      <c r="T324" s="91"/>
      <c r="U324" s="91"/>
      <c r="V324" s="99">
        <f t="shared" si="7"/>
        <v>1.24</v>
      </c>
      <c r="W324" s="34"/>
      <c r="X324" s="34" t="s">
        <v>305</v>
      </c>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c r="AW324" s="34"/>
      <c r="AX324" s="34"/>
      <c r="AY324" s="34"/>
      <c r="AZ324" s="34"/>
      <c r="BA324" s="5"/>
    </row>
    <row r="325" spans="1:53" ht="15.75" thickBot="1" x14ac:dyDescent="0.3">
      <c r="A325" s="24" t="s">
        <v>305</v>
      </c>
      <c r="B325" s="24" t="s">
        <v>306</v>
      </c>
      <c r="C325" s="24" t="s">
        <v>306</v>
      </c>
      <c r="D325" s="24" t="s">
        <v>306</v>
      </c>
      <c r="E325" s="24" t="s">
        <v>306</v>
      </c>
      <c r="F325" s="24" t="s">
        <v>306</v>
      </c>
      <c r="G325" s="24" t="s">
        <v>306</v>
      </c>
      <c r="H325" s="24" t="s">
        <v>306</v>
      </c>
      <c r="I325" s="192" t="s">
        <v>306</v>
      </c>
      <c r="J325" s="193" t="s">
        <v>975</v>
      </c>
      <c r="K325" s="5" t="s">
        <v>915</v>
      </c>
      <c r="L325" s="5"/>
      <c r="M325" s="5" t="s">
        <v>392</v>
      </c>
      <c r="N325" s="5"/>
      <c r="O325" s="5"/>
      <c r="P325" s="290">
        <v>7</v>
      </c>
      <c r="Q325" s="91"/>
      <c r="R325" s="91"/>
      <c r="S325" s="91"/>
      <c r="T325" s="91"/>
      <c r="U325" s="91"/>
      <c r="V325" s="99">
        <f t="shared" si="7"/>
        <v>7</v>
      </c>
      <c r="W325" s="34"/>
      <c r="X325" s="34" t="s">
        <v>305</v>
      </c>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c r="AW325" s="34"/>
      <c r="AX325" s="34"/>
      <c r="AY325" s="34"/>
      <c r="AZ325" s="34"/>
      <c r="BA325" s="5"/>
    </row>
    <row r="326" spans="1:53" ht="15.75" thickBot="1" x14ac:dyDescent="0.3">
      <c r="A326" s="24" t="s">
        <v>305</v>
      </c>
      <c r="B326" s="24" t="s">
        <v>306</v>
      </c>
      <c r="C326" s="24" t="s">
        <v>306</v>
      </c>
      <c r="D326" s="24" t="s">
        <v>306</v>
      </c>
      <c r="E326" s="24" t="s">
        <v>306</v>
      </c>
      <c r="F326" s="24" t="s">
        <v>306</v>
      </c>
      <c r="G326" s="24" t="s">
        <v>306</v>
      </c>
      <c r="H326" s="24" t="s">
        <v>306</v>
      </c>
      <c r="I326" s="192" t="s">
        <v>306</v>
      </c>
      <c r="J326" s="193" t="s">
        <v>975</v>
      </c>
      <c r="K326" s="5" t="s">
        <v>916</v>
      </c>
      <c r="L326" s="5"/>
      <c r="M326" s="5" t="s">
        <v>392</v>
      </c>
      <c r="N326" s="5"/>
      <c r="O326" s="5"/>
      <c r="P326" s="290">
        <v>196</v>
      </c>
      <c r="Q326" s="91"/>
      <c r="R326" s="91"/>
      <c r="S326" s="91"/>
      <c r="T326" s="91"/>
      <c r="U326" s="91"/>
      <c r="V326" s="99">
        <f t="shared" si="7"/>
        <v>196</v>
      </c>
      <c r="W326" s="34"/>
      <c r="X326" s="34" t="s">
        <v>305</v>
      </c>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c r="AW326" s="34"/>
      <c r="AX326" s="34"/>
      <c r="AY326" s="34"/>
      <c r="AZ326" s="34"/>
      <c r="BA326" s="5"/>
    </row>
    <row r="327" spans="1:53" ht="26.25" thickBot="1" x14ac:dyDescent="0.3">
      <c r="A327" s="24" t="s">
        <v>305</v>
      </c>
      <c r="B327" s="24" t="s">
        <v>306</v>
      </c>
      <c r="C327" s="24" t="s">
        <v>306</v>
      </c>
      <c r="D327" s="24" t="s">
        <v>306</v>
      </c>
      <c r="E327" s="24" t="s">
        <v>306</v>
      </c>
      <c r="F327" s="24" t="s">
        <v>306</v>
      </c>
      <c r="G327" s="24" t="s">
        <v>306</v>
      </c>
      <c r="H327" s="24" t="s">
        <v>306</v>
      </c>
      <c r="I327" s="192" t="s">
        <v>306</v>
      </c>
      <c r="J327" s="193" t="s">
        <v>975</v>
      </c>
      <c r="K327" s="5" t="s">
        <v>917</v>
      </c>
      <c r="L327" s="5"/>
      <c r="M327" s="5" t="s">
        <v>392</v>
      </c>
      <c r="N327" s="5"/>
      <c r="O327" s="5"/>
      <c r="P327" s="290">
        <v>4660</v>
      </c>
      <c r="Q327" s="91"/>
      <c r="R327" s="91"/>
      <c r="S327" s="91"/>
      <c r="T327" s="91"/>
      <c r="U327" s="91"/>
      <c r="V327" s="99">
        <f t="shared" si="7"/>
        <v>4660</v>
      </c>
      <c r="W327" s="34"/>
      <c r="X327" s="34" t="s">
        <v>305</v>
      </c>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c r="AW327" s="34"/>
      <c r="AX327" s="34"/>
      <c r="AY327" s="34"/>
      <c r="AZ327" s="34"/>
      <c r="BA327" s="5"/>
    </row>
    <row r="328" spans="1:53" ht="26.25" thickBot="1" x14ac:dyDescent="0.3">
      <c r="A328" s="24" t="s">
        <v>305</v>
      </c>
      <c r="B328" s="24" t="s">
        <v>306</v>
      </c>
      <c r="C328" s="24" t="s">
        <v>306</v>
      </c>
      <c r="D328" s="24" t="s">
        <v>306</v>
      </c>
      <c r="E328" s="24" t="s">
        <v>306</v>
      </c>
      <c r="F328" s="24" t="s">
        <v>306</v>
      </c>
      <c r="G328" s="24" t="s">
        <v>306</v>
      </c>
      <c r="H328" s="24" t="s">
        <v>306</v>
      </c>
      <c r="I328" s="192" t="s">
        <v>306</v>
      </c>
      <c r="J328" s="193" t="s">
        <v>975</v>
      </c>
      <c r="K328" s="5" t="s">
        <v>918</v>
      </c>
      <c r="L328" s="5"/>
      <c r="M328" s="5" t="s">
        <v>392</v>
      </c>
      <c r="N328" s="5"/>
      <c r="O328" s="5"/>
      <c r="P328" s="290">
        <v>10200</v>
      </c>
      <c r="Q328" s="91"/>
      <c r="R328" s="91"/>
      <c r="S328" s="91"/>
      <c r="T328" s="91"/>
      <c r="U328" s="91"/>
      <c r="V328" s="99">
        <f t="shared" si="7"/>
        <v>10200</v>
      </c>
      <c r="W328" s="34"/>
      <c r="X328" s="34" t="s">
        <v>305</v>
      </c>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c r="AW328" s="34"/>
      <c r="AX328" s="34"/>
      <c r="AY328" s="34"/>
      <c r="AZ328" s="34"/>
      <c r="BA328" s="5"/>
    </row>
    <row r="329" spans="1:53" ht="15.75" thickBot="1" x14ac:dyDescent="0.3">
      <c r="A329" s="24" t="s">
        <v>305</v>
      </c>
      <c r="B329" s="24" t="s">
        <v>306</v>
      </c>
      <c r="C329" s="24" t="s">
        <v>306</v>
      </c>
      <c r="D329" s="24" t="s">
        <v>306</v>
      </c>
      <c r="E329" s="24" t="s">
        <v>306</v>
      </c>
      <c r="F329" s="24" t="s">
        <v>306</v>
      </c>
      <c r="G329" s="24" t="s">
        <v>306</v>
      </c>
      <c r="H329" s="24" t="s">
        <v>306</v>
      </c>
      <c r="I329" s="192" t="s">
        <v>306</v>
      </c>
      <c r="J329" s="193" t="s">
        <v>975</v>
      </c>
      <c r="K329" s="5" t="s">
        <v>919</v>
      </c>
      <c r="L329" s="5"/>
      <c r="M329" s="5" t="s">
        <v>392</v>
      </c>
      <c r="N329" s="5"/>
      <c r="O329" s="5"/>
      <c r="P329" s="290">
        <v>13900</v>
      </c>
      <c r="Q329" s="91"/>
      <c r="R329" s="91"/>
      <c r="S329" s="91"/>
      <c r="T329" s="91"/>
      <c r="U329" s="91"/>
      <c r="V329" s="99">
        <f t="shared" si="7"/>
        <v>13900</v>
      </c>
      <c r="W329" s="34"/>
      <c r="X329" s="34" t="s">
        <v>305</v>
      </c>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c r="AW329" s="34"/>
      <c r="AX329" s="34"/>
      <c r="AY329" s="34"/>
      <c r="AZ329" s="34"/>
      <c r="BA329" s="5"/>
    </row>
    <row r="330" spans="1:53" ht="15.75" thickBot="1" x14ac:dyDescent="0.3">
      <c r="A330" s="24" t="s">
        <v>305</v>
      </c>
      <c r="B330" s="24" t="s">
        <v>306</v>
      </c>
      <c r="C330" s="24" t="s">
        <v>306</v>
      </c>
      <c r="D330" s="24" t="s">
        <v>306</v>
      </c>
      <c r="E330" s="24" t="s">
        <v>306</v>
      </c>
      <c r="F330" s="24" t="s">
        <v>306</v>
      </c>
      <c r="G330" s="24" t="s">
        <v>306</v>
      </c>
      <c r="H330" s="24" t="s">
        <v>306</v>
      </c>
      <c r="I330" s="192" t="s">
        <v>306</v>
      </c>
      <c r="J330" s="193" t="s">
        <v>975</v>
      </c>
      <c r="K330" s="5" t="s">
        <v>920</v>
      </c>
      <c r="L330" s="5"/>
      <c r="M330" s="5" t="s">
        <v>392</v>
      </c>
      <c r="N330" s="5"/>
      <c r="O330" s="5"/>
      <c r="P330" s="290">
        <v>5820</v>
      </c>
      <c r="Q330" s="91"/>
      <c r="R330" s="91"/>
      <c r="S330" s="91"/>
      <c r="T330" s="91"/>
      <c r="U330" s="91"/>
      <c r="V330" s="99">
        <f t="shared" si="7"/>
        <v>5820</v>
      </c>
      <c r="W330" s="34"/>
      <c r="X330" s="34" t="s">
        <v>305</v>
      </c>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c r="AW330" s="34"/>
      <c r="AX330" s="34"/>
      <c r="AY330" s="34"/>
      <c r="AZ330" s="34"/>
      <c r="BA330" s="5"/>
    </row>
    <row r="331" spans="1:53" ht="15.75" thickBot="1" x14ac:dyDescent="0.3">
      <c r="A331" s="24" t="s">
        <v>305</v>
      </c>
      <c r="B331" s="24" t="s">
        <v>306</v>
      </c>
      <c r="C331" s="24" t="s">
        <v>306</v>
      </c>
      <c r="D331" s="24" t="s">
        <v>306</v>
      </c>
      <c r="E331" s="24" t="s">
        <v>306</v>
      </c>
      <c r="F331" s="24" t="s">
        <v>306</v>
      </c>
      <c r="G331" s="24" t="s">
        <v>306</v>
      </c>
      <c r="H331" s="24" t="s">
        <v>306</v>
      </c>
      <c r="I331" s="192" t="s">
        <v>306</v>
      </c>
      <c r="J331" s="193" t="s">
        <v>975</v>
      </c>
      <c r="K331" s="5" t="s">
        <v>921</v>
      </c>
      <c r="L331" s="5"/>
      <c r="M331" s="5" t="s">
        <v>392</v>
      </c>
      <c r="N331" s="5"/>
      <c r="O331" s="5"/>
      <c r="P331" s="290">
        <v>8590</v>
      </c>
      <c r="Q331" s="91"/>
      <c r="R331" s="91"/>
      <c r="S331" s="91"/>
      <c r="T331" s="91"/>
      <c r="U331" s="91"/>
      <c r="V331" s="99">
        <f t="shared" si="7"/>
        <v>8590</v>
      </c>
      <c r="W331" s="34"/>
      <c r="X331" s="34" t="s">
        <v>305</v>
      </c>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5"/>
    </row>
    <row r="332" spans="1:53" ht="15.75" thickBot="1" x14ac:dyDescent="0.3">
      <c r="A332" s="24" t="s">
        <v>305</v>
      </c>
      <c r="B332" s="24" t="s">
        <v>306</v>
      </c>
      <c r="C332" s="24" t="s">
        <v>306</v>
      </c>
      <c r="D332" s="24" t="s">
        <v>306</v>
      </c>
      <c r="E332" s="24" t="s">
        <v>306</v>
      </c>
      <c r="F332" s="24" t="s">
        <v>306</v>
      </c>
      <c r="G332" s="24" t="s">
        <v>306</v>
      </c>
      <c r="H332" s="24" t="s">
        <v>306</v>
      </c>
      <c r="I332" s="192" t="s">
        <v>306</v>
      </c>
      <c r="J332" s="193" t="s">
        <v>975</v>
      </c>
      <c r="K332" s="5" t="s">
        <v>922</v>
      </c>
      <c r="L332" s="5"/>
      <c r="M332" s="5" t="s">
        <v>392</v>
      </c>
      <c r="N332" s="5"/>
      <c r="O332" s="5"/>
      <c r="P332" s="290">
        <v>7670</v>
      </c>
      <c r="Q332" s="91"/>
      <c r="R332" s="91"/>
      <c r="S332" s="91"/>
      <c r="T332" s="91"/>
      <c r="U332" s="91"/>
      <c r="V332" s="99">
        <f t="shared" si="7"/>
        <v>7670</v>
      </c>
      <c r="W332" s="34"/>
      <c r="X332" s="34" t="s">
        <v>305</v>
      </c>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c r="AW332" s="34"/>
      <c r="AX332" s="34"/>
      <c r="AY332" s="34"/>
      <c r="AZ332" s="34"/>
      <c r="BA332" s="5"/>
    </row>
    <row r="333" spans="1:53" ht="15.75" thickBot="1" x14ac:dyDescent="0.3">
      <c r="A333" s="24" t="s">
        <v>305</v>
      </c>
      <c r="B333" s="24" t="s">
        <v>306</v>
      </c>
      <c r="C333" s="24" t="s">
        <v>306</v>
      </c>
      <c r="D333" s="24" t="s">
        <v>306</v>
      </c>
      <c r="E333" s="24" t="s">
        <v>306</v>
      </c>
      <c r="F333" s="24" t="s">
        <v>306</v>
      </c>
      <c r="G333" s="24" t="s">
        <v>306</v>
      </c>
      <c r="H333" s="24" t="s">
        <v>306</v>
      </c>
      <c r="I333" s="192" t="s">
        <v>306</v>
      </c>
      <c r="J333" s="193" t="s">
        <v>975</v>
      </c>
      <c r="K333" s="5" t="s">
        <v>923</v>
      </c>
      <c r="L333" s="5"/>
      <c r="M333" s="5" t="s">
        <v>392</v>
      </c>
      <c r="N333" s="5"/>
      <c r="O333" s="5"/>
      <c r="P333" s="290">
        <v>1750</v>
      </c>
      <c r="Q333" s="91"/>
      <c r="R333" s="91"/>
      <c r="S333" s="91"/>
      <c r="T333" s="91"/>
      <c r="U333" s="91"/>
      <c r="V333" s="99">
        <f t="shared" si="7"/>
        <v>1750</v>
      </c>
      <c r="W333" s="34"/>
      <c r="X333" s="34" t="s">
        <v>305</v>
      </c>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c r="AW333" s="34"/>
      <c r="AX333" s="34"/>
      <c r="AY333" s="34"/>
      <c r="AZ333" s="34"/>
      <c r="BA333" s="5"/>
    </row>
    <row r="334" spans="1:53" ht="15.75" thickBot="1" x14ac:dyDescent="0.3">
      <c r="A334" s="24" t="s">
        <v>305</v>
      </c>
      <c r="B334" s="24" t="s">
        <v>306</v>
      </c>
      <c r="C334" s="24" t="s">
        <v>306</v>
      </c>
      <c r="D334" s="24" t="s">
        <v>306</v>
      </c>
      <c r="E334" s="24" t="s">
        <v>306</v>
      </c>
      <c r="F334" s="24" t="s">
        <v>306</v>
      </c>
      <c r="G334" s="24" t="s">
        <v>306</v>
      </c>
      <c r="H334" s="24" t="s">
        <v>306</v>
      </c>
      <c r="I334" s="192" t="s">
        <v>306</v>
      </c>
      <c r="J334" s="193" t="s">
        <v>975</v>
      </c>
      <c r="K334" s="5" t="s">
        <v>924</v>
      </c>
      <c r="L334" s="5"/>
      <c r="M334" s="5" t="s">
        <v>392</v>
      </c>
      <c r="N334" s="5"/>
      <c r="O334" s="5"/>
      <c r="P334" s="290">
        <v>6290</v>
      </c>
      <c r="Q334" s="91"/>
      <c r="R334" s="91"/>
      <c r="S334" s="91"/>
      <c r="T334" s="91"/>
      <c r="U334" s="91"/>
      <c r="V334" s="99">
        <f t="shared" si="7"/>
        <v>6290</v>
      </c>
      <c r="W334" s="34"/>
      <c r="X334" s="34" t="s">
        <v>305</v>
      </c>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5"/>
    </row>
    <row r="335" spans="1:53" ht="15.75" thickBot="1" x14ac:dyDescent="0.3">
      <c r="A335" s="24" t="s">
        <v>305</v>
      </c>
      <c r="B335" s="24" t="s">
        <v>306</v>
      </c>
      <c r="C335" s="24" t="s">
        <v>306</v>
      </c>
      <c r="D335" s="24" t="s">
        <v>306</v>
      </c>
      <c r="E335" s="24" t="s">
        <v>306</v>
      </c>
      <c r="F335" s="24" t="s">
        <v>306</v>
      </c>
      <c r="G335" s="24" t="s">
        <v>306</v>
      </c>
      <c r="H335" s="24" t="s">
        <v>306</v>
      </c>
      <c r="I335" s="192" t="s">
        <v>306</v>
      </c>
      <c r="J335" s="193" t="s">
        <v>975</v>
      </c>
      <c r="K335" s="5" t="s">
        <v>925</v>
      </c>
      <c r="L335" s="5"/>
      <c r="M335" s="5" t="s">
        <v>392</v>
      </c>
      <c r="N335" s="5"/>
      <c r="O335" s="5"/>
      <c r="P335" s="290">
        <v>1470</v>
      </c>
      <c r="Q335" s="91"/>
      <c r="R335" s="91"/>
      <c r="S335" s="91"/>
      <c r="T335" s="91"/>
      <c r="U335" s="91"/>
      <c r="V335" s="99">
        <f t="shared" si="7"/>
        <v>1470</v>
      </c>
      <c r="W335" s="34"/>
      <c r="X335" s="34" t="s">
        <v>305</v>
      </c>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c r="AX335" s="34"/>
      <c r="AY335" s="34"/>
      <c r="AZ335" s="34"/>
      <c r="BA335" s="5"/>
    </row>
    <row r="336" spans="1:53" ht="15.75" thickBot="1" x14ac:dyDescent="0.3">
      <c r="A336" s="24" t="s">
        <v>305</v>
      </c>
      <c r="B336" s="24" t="s">
        <v>306</v>
      </c>
      <c r="C336" s="24" t="s">
        <v>306</v>
      </c>
      <c r="D336" s="24" t="s">
        <v>306</v>
      </c>
      <c r="E336" s="24" t="s">
        <v>306</v>
      </c>
      <c r="F336" s="24" t="s">
        <v>306</v>
      </c>
      <c r="G336" s="24" t="s">
        <v>306</v>
      </c>
      <c r="H336" s="24" t="s">
        <v>306</v>
      </c>
      <c r="I336" s="192" t="s">
        <v>306</v>
      </c>
      <c r="J336" s="193" t="s">
        <v>975</v>
      </c>
      <c r="K336" s="5" t="s">
        <v>926</v>
      </c>
      <c r="L336" s="5"/>
      <c r="M336" s="5" t="s">
        <v>392</v>
      </c>
      <c r="N336" s="5"/>
      <c r="O336" s="5"/>
      <c r="P336" s="290">
        <v>1730</v>
      </c>
      <c r="Q336" s="91"/>
      <c r="R336" s="91"/>
      <c r="S336" s="91"/>
      <c r="T336" s="91"/>
      <c r="U336" s="91"/>
      <c r="V336" s="99">
        <f t="shared" si="7"/>
        <v>1730</v>
      </c>
      <c r="W336" s="34"/>
      <c r="X336" s="34" t="s">
        <v>305</v>
      </c>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c r="AX336" s="34"/>
      <c r="AY336" s="34"/>
      <c r="AZ336" s="34"/>
      <c r="BA336" s="5"/>
    </row>
    <row r="337" spans="1:53" ht="15.75" thickBot="1" x14ac:dyDescent="0.3">
      <c r="A337" s="24" t="s">
        <v>305</v>
      </c>
      <c r="B337" s="24" t="s">
        <v>306</v>
      </c>
      <c r="C337" s="24" t="s">
        <v>306</v>
      </c>
      <c r="D337" s="24" t="s">
        <v>306</v>
      </c>
      <c r="E337" s="24" t="s">
        <v>306</v>
      </c>
      <c r="F337" s="24" t="s">
        <v>306</v>
      </c>
      <c r="G337" s="24" t="s">
        <v>306</v>
      </c>
      <c r="H337" s="24" t="s">
        <v>306</v>
      </c>
      <c r="I337" s="192" t="s">
        <v>306</v>
      </c>
      <c r="J337" s="193" t="s">
        <v>975</v>
      </c>
      <c r="K337" s="5" t="s">
        <v>927</v>
      </c>
      <c r="L337" s="5"/>
      <c r="M337" s="5" t="s">
        <v>392</v>
      </c>
      <c r="N337" s="5"/>
      <c r="O337" s="5"/>
      <c r="P337" s="290">
        <v>2</v>
      </c>
      <c r="Q337" s="91"/>
      <c r="R337" s="91"/>
      <c r="S337" s="91"/>
      <c r="T337" s="91"/>
      <c r="U337" s="91"/>
      <c r="V337" s="99">
        <f t="shared" si="7"/>
        <v>2</v>
      </c>
      <c r="W337" s="34"/>
      <c r="X337" s="34" t="s">
        <v>305</v>
      </c>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c r="AX337" s="34"/>
      <c r="AY337" s="34"/>
      <c r="AZ337" s="34"/>
      <c r="BA337" s="5"/>
    </row>
    <row r="338" spans="1:53" ht="15.75" thickBot="1" x14ac:dyDescent="0.3">
      <c r="A338" s="24" t="s">
        <v>305</v>
      </c>
      <c r="B338" s="24" t="s">
        <v>306</v>
      </c>
      <c r="C338" s="24" t="s">
        <v>306</v>
      </c>
      <c r="D338" s="24" t="s">
        <v>306</v>
      </c>
      <c r="E338" s="24" t="s">
        <v>306</v>
      </c>
      <c r="F338" s="24" t="s">
        <v>306</v>
      </c>
      <c r="G338" s="24" t="s">
        <v>306</v>
      </c>
      <c r="H338" s="24" t="s">
        <v>306</v>
      </c>
      <c r="I338" s="192" t="s">
        <v>306</v>
      </c>
      <c r="J338" s="193" t="s">
        <v>975</v>
      </c>
      <c r="K338" s="5" t="s">
        <v>928</v>
      </c>
      <c r="L338" s="5"/>
      <c r="M338" s="5" t="s">
        <v>392</v>
      </c>
      <c r="N338" s="5"/>
      <c r="O338" s="5"/>
      <c r="P338" s="290">
        <v>160</v>
      </c>
      <c r="Q338" s="91"/>
      <c r="R338" s="91"/>
      <c r="S338" s="91"/>
      <c r="T338" s="91"/>
      <c r="U338" s="91"/>
      <c r="V338" s="99">
        <f t="shared" ref="V338:V381" si="8">ROUND(SUM(P338:U338),3)</f>
        <v>160</v>
      </c>
      <c r="W338" s="34"/>
      <c r="X338" s="34" t="s">
        <v>305</v>
      </c>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5"/>
    </row>
    <row r="339" spans="1:53" ht="26.25" thickBot="1" x14ac:dyDescent="0.3">
      <c r="A339" s="24" t="s">
        <v>305</v>
      </c>
      <c r="B339" s="24" t="s">
        <v>306</v>
      </c>
      <c r="C339" s="24" t="s">
        <v>306</v>
      </c>
      <c r="D339" s="24" t="s">
        <v>306</v>
      </c>
      <c r="E339" s="24" t="s">
        <v>306</v>
      </c>
      <c r="F339" s="24" t="s">
        <v>306</v>
      </c>
      <c r="G339" s="24" t="s">
        <v>306</v>
      </c>
      <c r="H339" s="24" t="s">
        <v>306</v>
      </c>
      <c r="I339" s="192" t="s">
        <v>306</v>
      </c>
      <c r="J339" s="193" t="s">
        <v>975</v>
      </c>
      <c r="K339" s="5" t="s">
        <v>929</v>
      </c>
      <c r="L339" s="5"/>
      <c r="M339" s="5" t="s">
        <v>392</v>
      </c>
      <c r="N339" s="5"/>
      <c r="O339" s="5"/>
      <c r="P339" s="290">
        <v>1760</v>
      </c>
      <c r="Q339" s="91"/>
      <c r="R339" s="91"/>
      <c r="S339" s="91"/>
      <c r="T339" s="91"/>
      <c r="U339" s="91"/>
      <c r="V339" s="99">
        <f t="shared" si="8"/>
        <v>1760</v>
      </c>
      <c r="W339" s="34"/>
      <c r="X339" s="34" t="s">
        <v>305</v>
      </c>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c r="AW339" s="34"/>
      <c r="AX339" s="34"/>
      <c r="AY339" s="34"/>
      <c r="AZ339" s="34"/>
      <c r="BA339" s="5"/>
    </row>
    <row r="340" spans="1:53" ht="15.75" thickBot="1" x14ac:dyDescent="0.3">
      <c r="A340" s="24" t="s">
        <v>305</v>
      </c>
      <c r="B340" s="24" t="s">
        <v>306</v>
      </c>
      <c r="C340" s="24" t="s">
        <v>306</v>
      </c>
      <c r="D340" s="24" t="s">
        <v>306</v>
      </c>
      <c r="E340" s="24" t="s">
        <v>306</v>
      </c>
      <c r="F340" s="24" t="s">
        <v>306</v>
      </c>
      <c r="G340" s="24" t="s">
        <v>306</v>
      </c>
      <c r="H340" s="24" t="s">
        <v>306</v>
      </c>
      <c r="I340" s="192" t="s">
        <v>306</v>
      </c>
      <c r="J340" s="193" t="s">
        <v>975</v>
      </c>
      <c r="K340" s="5" t="s">
        <v>930</v>
      </c>
      <c r="L340" s="5"/>
      <c r="M340" s="5" t="s">
        <v>392</v>
      </c>
      <c r="N340" s="5"/>
      <c r="O340" s="5"/>
      <c r="P340" s="290">
        <v>79</v>
      </c>
      <c r="Q340" s="91"/>
      <c r="R340" s="91"/>
      <c r="S340" s="91"/>
      <c r="T340" s="91"/>
      <c r="U340" s="91"/>
      <c r="V340" s="99">
        <f t="shared" si="8"/>
        <v>79</v>
      </c>
      <c r="W340" s="34"/>
      <c r="X340" s="34" t="s">
        <v>305</v>
      </c>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c r="AW340" s="34"/>
      <c r="AX340" s="34"/>
      <c r="AY340" s="34"/>
      <c r="AZ340" s="34"/>
      <c r="BA340" s="5"/>
    </row>
    <row r="341" spans="1:53" ht="15.75" thickBot="1" x14ac:dyDescent="0.3">
      <c r="A341" s="24" t="s">
        <v>305</v>
      </c>
      <c r="B341" s="24" t="s">
        <v>306</v>
      </c>
      <c r="C341" s="24" t="s">
        <v>306</v>
      </c>
      <c r="D341" s="24" t="s">
        <v>306</v>
      </c>
      <c r="E341" s="24" t="s">
        <v>306</v>
      </c>
      <c r="F341" s="24" t="s">
        <v>306</v>
      </c>
      <c r="G341" s="24" t="s">
        <v>306</v>
      </c>
      <c r="H341" s="24" t="s">
        <v>306</v>
      </c>
      <c r="I341" s="192" t="s">
        <v>306</v>
      </c>
      <c r="J341" s="193" t="s">
        <v>975</v>
      </c>
      <c r="K341" s="5" t="s">
        <v>931</v>
      </c>
      <c r="L341" s="5"/>
      <c r="M341" s="5" t="s">
        <v>392</v>
      </c>
      <c r="N341" s="5"/>
      <c r="O341" s="5"/>
      <c r="P341" s="290">
        <v>527</v>
      </c>
      <c r="Q341" s="91"/>
      <c r="R341" s="91"/>
      <c r="S341" s="91"/>
      <c r="T341" s="91"/>
      <c r="U341" s="91"/>
      <c r="V341" s="99">
        <f t="shared" si="8"/>
        <v>527</v>
      </c>
      <c r="W341" s="34"/>
      <c r="X341" s="34" t="s">
        <v>305</v>
      </c>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c r="AW341" s="34"/>
      <c r="AX341" s="34"/>
      <c r="AY341" s="34"/>
      <c r="AZ341" s="34"/>
      <c r="BA341" s="5"/>
    </row>
    <row r="342" spans="1:53" ht="15.75" thickBot="1" x14ac:dyDescent="0.3">
      <c r="A342" s="24" t="s">
        <v>305</v>
      </c>
      <c r="B342" s="24" t="s">
        <v>306</v>
      </c>
      <c r="C342" s="24" t="s">
        <v>306</v>
      </c>
      <c r="D342" s="24" t="s">
        <v>306</v>
      </c>
      <c r="E342" s="24" t="s">
        <v>306</v>
      </c>
      <c r="F342" s="24" t="s">
        <v>306</v>
      </c>
      <c r="G342" s="24" t="s">
        <v>306</v>
      </c>
      <c r="H342" s="24" t="s">
        <v>306</v>
      </c>
      <c r="I342" s="192" t="s">
        <v>306</v>
      </c>
      <c r="J342" s="193" t="s">
        <v>975</v>
      </c>
      <c r="K342" s="5" t="s">
        <v>932</v>
      </c>
      <c r="L342" s="5"/>
      <c r="M342" s="5" t="s">
        <v>392</v>
      </c>
      <c r="N342" s="5"/>
      <c r="O342" s="5"/>
      <c r="P342" s="290">
        <v>782</v>
      </c>
      <c r="Q342" s="91"/>
      <c r="R342" s="91"/>
      <c r="S342" s="91"/>
      <c r="T342" s="91"/>
      <c r="U342" s="91"/>
      <c r="V342" s="99">
        <f t="shared" si="8"/>
        <v>782</v>
      </c>
      <c r="W342" s="34"/>
      <c r="X342" s="34" t="s">
        <v>305</v>
      </c>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c r="AW342" s="34"/>
      <c r="AX342" s="34"/>
      <c r="AY342" s="34"/>
      <c r="AZ342" s="34"/>
      <c r="BA342" s="5"/>
    </row>
    <row r="343" spans="1:53" ht="15.75" thickBot="1" x14ac:dyDescent="0.3">
      <c r="A343" s="24" t="s">
        <v>305</v>
      </c>
      <c r="B343" s="24" t="s">
        <v>306</v>
      </c>
      <c r="C343" s="24" t="s">
        <v>306</v>
      </c>
      <c r="D343" s="24" t="s">
        <v>306</v>
      </c>
      <c r="E343" s="24" t="s">
        <v>306</v>
      </c>
      <c r="F343" s="24" t="s">
        <v>306</v>
      </c>
      <c r="G343" s="24" t="s">
        <v>306</v>
      </c>
      <c r="H343" s="24" t="s">
        <v>306</v>
      </c>
      <c r="I343" s="192" t="s">
        <v>306</v>
      </c>
      <c r="J343" s="193" t="s">
        <v>975</v>
      </c>
      <c r="K343" s="5" t="s">
        <v>933</v>
      </c>
      <c r="L343" s="5"/>
      <c r="M343" s="5" t="s">
        <v>392</v>
      </c>
      <c r="N343" s="5"/>
      <c r="O343" s="5"/>
      <c r="P343" s="290">
        <v>1980</v>
      </c>
      <c r="Q343" s="91"/>
      <c r="R343" s="91"/>
      <c r="S343" s="91"/>
      <c r="T343" s="91"/>
      <c r="U343" s="91"/>
      <c r="V343" s="99">
        <f t="shared" si="8"/>
        <v>1980</v>
      </c>
      <c r="W343" s="34"/>
      <c r="X343" s="34" t="s">
        <v>305</v>
      </c>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c r="AW343" s="34"/>
      <c r="AX343" s="34"/>
      <c r="AY343" s="34"/>
      <c r="AZ343" s="34"/>
      <c r="BA343" s="5"/>
    </row>
    <row r="344" spans="1:53" ht="15.75" thickBot="1" x14ac:dyDescent="0.3">
      <c r="A344" s="24" t="s">
        <v>305</v>
      </c>
      <c r="B344" s="24" t="s">
        <v>306</v>
      </c>
      <c r="C344" s="24" t="s">
        <v>306</v>
      </c>
      <c r="D344" s="24" t="s">
        <v>306</v>
      </c>
      <c r="E344" s="24" t="s">
        <v>306</v>
      </c>
      <c r="F344" s="24" t="s">
        <v>306</v>
      </c>
      <c r="G344" s="24" t="s">
        <v>306</v>
      </c>
      <c r="H344" s="24" t="s">
        <v>306</v>
      </c>
      <c r="I344" s="192" t="s">
        <v>306</v>
      </c>
      <c r="J344" s="193" t="s">
        <v>975</v>
      </c>
      <c r="K344" s="5" t="s">
        <v>934</v>
      </c>
      <c r="L344" s="5"/>
      <c r="M344" s="5" t="s">
        <v>392</v>
      </c>
      <c r="N344" s="5"/>
      <c r="O344" s="5"/>
      <c r="P344" s="290">
        <v>127</v>
      </c>
      <c r="Q344" s="91"/>
      <c r="R344" s="91"/>
      <c r="S344" s="91"/>
      <c r="T344" s="91"/>
      <c r="U344" s="91"/>
      <c r="V344" s="99">
        <f t="shared" si="8"/>
        <v>127</v>
      </c>
      <c r="W344" s="34"/>
      <c r="X344" s="34" t="s">
        <v>305</v>
      </c>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c r="AW344" s="34"/>
      <c r="AX344" s="34"/>
      <c r="AY344" s="34"/>
      <c r="AZ344" s="34"/>
      <c r="BA344" s="5"/>
    </row>
    <row r="345" spans="1:53" ht="15.75" thickBot="1" x14ac:dyDescent="0.3">
      <c r="A345" s="24" t="s">
        <v>305</v>
      </c>
      <c r="B345" s="24" t="s">
        <v>306</v>
      </c>
      <c r="C345" s="24" t="s">
        <v>306</v>
      </c>
      <c r="D345" s="24" t="s">
        <v>306</v>
      </c>
      <c r="E345" s="24" t="s">
        <v>306</v>
      </c>
      <c r="F345" s="24" t="s">
        <v>306</v>
      </c>
      <c r="G345" s="24" t="s">
        <v>306</v>
      </c>
      <c r="H345" s="24" t="s">
        <v>306</v>
      </c>
      <c r="I345" s="192" t="s">
        <v>306</v>
      </c>
      <c r="J345" s="193" t="s">
        <v>975</v>
      </c>
      <c r="K345" s="5" t="s">
        <v>935</v>
      </c>
      <c r="L345" s="5"/>
      <c r="M345" s="5" t="s">
        <v>392</v>
      </c>
      <c r="N345" s="5"/>
      <c r="O345" s="5"/>
      <c r="P345" s="290">
        <v>525</v>
      </c>
      <c r="Q345" s="91"/>
      <c r="R345" s="91"/>
      <c r="S345" s="91"/>
      <c r="T345" s="91"/>
      <c r="U345" s="91"/>
      <c r="V345" s="99">
        <f t="shared" si="8"/>
        <v>525</v>
      </c>
      <c r="W345" s="34"/>
      <c r="X345" s="34" t="s">
        <v>305</v>
      </c>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c r="AW345" s="34"/>
      <c r="AX345" s="34"/>
      <c r="AY345" s="34"/>
      <c r="AZ345" s="34"/>
      <c r="BA345" s="5"/>
    </row>
    <row r="346" spans="1:53" ht="15.75" thickBot="1" x14ac:dyDescent="0.3">
      <c r="A346" s="24" t="s">
        <v>305</v>
      </c>
      <c r="B346" s="24" t="s">
        <v>306</v>
      </c>
      <c r="C346" s="24" t="s">
        <v>306</v>
      </c>
      <c r="D346" s="24" t="s">
        <v>306</v>
      </c>
      <c r="E346" s="24" t="s">
        <v>306</v>
      </c>
      <c r="F346" s="24" t="s">
        <v>306</v>
      </c>
      <c r="G346" s="24" t="s">
        <v>306</v>
      </c>
      <c r="H346" s="24" t="s">
        <v>306</v>
      </c>
      <c r="I346" s="192" t="s">
        <v>306</v>
      </c>
      <c r="J346" s="193" t="s">
        <v>975</v>
      </c>
      <c r="K346" s="5" t="s">
        <v>936</v>
      </c>
      <c r="L346" s="5"/>
      <c r="M346" s="5" t="s">
        <v>392</v>
      </c>
      <c r="N346" s="5"/>
      <c r="O346" s="5"/>
      <c r="P346" s="290">
        <v>148</v>
      </c>
      <c r="Q346" s="91"/>
      <c r="R346" s="91"/>
      <c r="S346" s="91"/>
      <c r="T346" s="91"/>
      <c r="U346" s="91"/>
      <c r="V346" s="99">
        <f t="shared" si="8"/>
        <v>148</v>
      </c>
      <c r="W346" s="34"/>
      <c r="X346" s="34" t="s">
        <v>305</v>
      </c>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c r="AW346" s="34"/>
      <c r="AX346" s="34"/>
      <c r="AY346" s="34"/>
      <c r="AZ346" s="34"/>
      <c r="BA346" s="5"/>
    </row>
    <row r="347" spans="1:53" ht="15.75" thickBot="1" x14ac:dyDescent="0.3">
      <c r="A347" s="24" t="s">
        <v>305</v>
      </c>
      <c r="B347" s="24" t="s">
        <v>306</v>
      </c>
      <c r="C347" s="24" t="s">
        <v>306</v>
      </c>
      <c r="D347" s="24" t="s">
        <v>306</v>
      </c>
      <c r="E347" s="24" t="s">
        <v>306</v>
      </c>
      <c r="F347" s="24" t="s">
        <v>306</v>
      </c>
      <c r="G347" s="24" t="s">
        <v>306</v>
      </c>
      <c r="H347" s="24" t="s">
        <v>306</v>
      </c>
      <c r="I347" s="192" t="s">
        <v>306</v>
      </c>
      <c r="J347" s="193" t="s">
        <v>975</v>
      </c>
      <c r="K347" s="5" t="s">
        <v>937</v>
      </c>
      <c r="L347" s="5"/>
      <c r="M347" s="5" t="s">
        <v>392</v>
      </c>
      <c r="N347" s="5"/>
      <c r="O347" s="5"/>
      <c r="P347" s="290">
        <v>12400</v>
      </c>
      <c r="Q347" s="91"/>
      <c r="R347" s="91"/>
      <c r="S347" s="91"/>
      <c r="T347" s="91"/>
      <c r="U347" s="91"/>
      <c r="V347" s="99">
        <f t="shared" si="8"/>
        <v>12400</v>
      </c>
      <c r="W347" s="34"/>
      <c r="X347" s="34" t="s">
        <v>305</v>
      </c>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c r="AW347" s="34"/>
      <c r="AX347" s="34"/>
      <c r="AY347" s="34"/>
      <c r="AZ347" s="34"/>
      <c r="BA347" s="5"/>
    </row>
    <row r="348" spans="1:53" ht="15.75" thickBot="1" x14ac:dyDescent="0.3">
      <c r="A348" s="24" t="s">
        <v>305</v>
      </c>
      <c r="B348" s="24" t="s">
        <v>306</v>
      </c>
      <c r="C348" s="24" t="s">
        <v>306</v>
      </c>
      <c r="D348" s="24" t="s">
        <v>306</v>
      </c>
      <c r="E348" s="24" t="s">
        <v>306</v>
      </c>
      <c r="F348" s="24" t="s">
        <v>306</v>
      </c>
      <c r="G348" s="24" t="s">
        <v>306</v>
      </c>
      <c r="H348" s="24" t="s">
        <v>306</v>
      </c>
      <c r="I348" s="192" t="s">
        <v>306</v>
      </c>
      <c r="J348" s="193" t="s">
        <v>975</v>
      </c>
      <c r="K348" s="5" t="s">
        <v>938</v>
      </c>
      <c r="L348" s="5"/>
      <c r="M348" s="5" t="s">
        <v>392</v>
      </c>
      <c r="N348" s="5"/>
      <c r="O348" s="5"/>
      <c r="P348" s="290">
        <v>5560</v>
      </c>
      <c r="Q348" s="91"/>
      <c r="R348" s="91"/>
      <c r="S348" s="91"/>
      <c r="T348" s="91"/>
      <c r="U348" s="91"/>
      <c r="V348" s="99">
        <f t="shared" si="8"/>
        <v>5560</v>
      </c>
      <c r="W348" s="34"/>
      <c r="X348" s="34" t="s">
        <v>305</v>
      </c>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c r="AW348" s="34"/>
      <c r="AX348" s="34"/>
      <c r="AY348" s="34"/>
      <c r="AZ348" s="34"/>
      <c r="BA348" s="5"/>
    </row>
    <row r="349" spans="1:53" ht="15.75" thickBot="1" x14ac:dyDescent="0.3">
      <c r="A349" s="24" t="s">
        <v>305</v>
      </c>
      <c r="B349" s="24" t="s">
        <v>306</v>
      </c>
      <c r="C349" s="24" t="s">
        <v>306</v>
      </c>
      <c r="D349" s="24" t="s">
        <v>306</v>
      </c>
      <c r="E349" s="24" t="s">
        <v>306</v>
      </c>
      <c r="F349" s="24" t="s">
        <v>306</v>
      </c>
      <c r="G349" s="24" t="s">
        <v>306</v>
      </c>
      <c r="H349" s="24" t="s">
        <v>306</v>
      </c>
      <c r="I349" s="192" t="s">
        <v>306</v>
      </c>
      <c r="J349" s="193" t="s">
        <v>975</v>
      </c>
      <c r="K349" s="5" t="s">
        <v>939</v>
      </c>
      <c r="L349" s="5"/>
      <c r="M349" s="5" t="s">
        <v>392</v>
      </c>
      <c r="N349" s="5"/>
      <c r="O349" s="5"/>
      <c r="P349" s="290">
        <v>523</v>
      </c>
      <c r="Q349" s="91"/>
      <c r="R349" s="91"/>
      <c r="S349" s="91"/>
      <c r="T349" s="91"/>
      <c r="U349" s="91"/>
      <c r="V349" s="99">
        <f t="shared" si="8"/>
        <v>523</v>
      </c>
      <c r="W349" s="34"/>
      <c r="X349" s="34" t="s">
        <v>305</v>
      </c>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c r="AW349" s="34"/>
      <c r="AX349" s="34"/>
      <c r="AY349" s="34"/>
      <c r="AZ349" s="34"/>
      <c r="BA349" s="5"/>
    </row>
    <row r="350" spans="1:53" ht="15.75" thickBot="1" x14ac:dyDescent="0.3">
      <c r="A350" s="24" t="s">
        <v>305</v>
      </c>
      <c r="B350" s="24" t="s">
        <v>306</v>
      </c>
      <c r="C350" s="24" t="s">
        <v>306</v>
      </c>
      <c r="D350" s="24" t="s">
        <v>306</v>
      </c>
      <c r="E350" s="24" t="s">
        <v>306</v>
      </c>
      <c r="F350" s="24" t="s">
        <v>306</v>
      </c>
      <c r="G350" s="24" t="s">
        <v>306</v>
      </c>
      <c r="H350" s="24" t="s">
        <v>306</v>
      </c>
      <c r="I350" s="192" t="s">
        <v>306</v>
      </c>
      <c r="J350" s="193" t="s">
        <v>975</v>
      </c>
      <c r="K350" s="5" t="s">
        <v>940</v>
      </c>
      <c r="L350" s="5"/>
      <c r="M350" s="5" t="s">
        <v>392</v>
      </c>
      <c r="N350" s="5"/>
      <c r="O350" s="5"/>
      <c r="P350" s="290">
        <v>491</v>
      </c>
      <c r="Q350" s="91"/>
      <c r="R350" s="91"/>
      <c r="S350" s="91"/>
      <c r="T350" s="91"/>
      <c r="U350" s="91"/>
      <c r="V350" s="99">
        <f t="shared" si="8"/>
        <v>491</v>
      </c>
      <c r="W350" s="34"/>
      <c r="X350" s="34" t="s">
        <v>305</v>
      </c>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5"/>
    </row>
    <row r="351" spans="1:53" ht="15.75" thickBot="1" x14ac:dyDescent="0.3">
      <c r="A351" s="24" t="s">
        <v>305</v>
      </c>
      <c r="B351" s="24" t="s">
        <v>306</v>
      </c>
      <c r="C351" s="24" t="s">
        <v>306</v>
      </c>
      <c r="D351" s="24" t="s">
        <v>306</v>
      </c>
      <c r="E351" s="24" t="s">
        <v>306</v>
      </c>
      <c r="F351" s="24" t="s">
        <v>306</v>
      </c>
      <c r="G351" s="24" t="s">
        <v>306</v>
      </c>
      <c r="H351" s="24" t="s">
        <v>306</v>
      </c>
      <c r="I351" s="192" t="s">
        <v>306</v>
      </c>
      <c r="J351" s="193" t="s">
        <v>975</v>
      </c>
      <c r="K351" s="5" t="s">
        <v>941</v>
      </c>
      <c r="L351" s="5"/>
      <c r="M351" s="5" t="s">
        <v>392</v>
      </c>
      <c r="N351" s="5"/>
      <c r="O351" s="5"/>
      <c r="P351" s="290">
        <v>654</v>
      </c>
      <c r="Q351" s="91"/>
      <c r="R351" s="91"/>
      <c r="S351" s="91"/>
      <c r="T351" s="91"/>
      <c r="U351" s="91"/>
      <c r="V351" s="99">
        <f t="shared" si="8"/>
        <v>654</v>
      </c>
      <c r="W351" s="34"/>
      <c r="X351" s="34" t="s">
        <v>305</v>
      </c>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c r="AW351" s="34"/>
      <c r="AX351" s="34"/>
      <c r="AY351" s="34"/>
      <c r="AZ351" s="34"/>
      <c r="BA351" s="5"/>
    </row>
    <row r="352" spans="1:53" ht="15.75" thickBot="1" x14ac:dyDescent="0.3">
      <c r="A352" s="24" t="s">
        <v>305</v>
      </c>
      <c r="B352" s="24" t="s">
        <v>306</v>
      </c>
      <c r="C352" s="24" t="s">
        <v>306</v>
      </c>
      <c r="D352" s="24" t="s">
        <v>306</v>
      </c>
      <c r="E352" s="24" t="s">
        <v>306</v>
      </c>
      <c r="F352" s="24" t="s">
        <v>306</v>
      </c>
      <c r="G352" s="24" t="s">
        <v>306</v>
      </c>
      <c r="H352" s="24" t="s">
        <v>306</v>
      </c>
      <c r="I352" s="192" t="s">
        <v>306</v>
      </c>
      <c r="J352" s="193" t="s">
        <v>975</v>
      </c>
      <c r="K352" s="5" t="s">
        <v>942</v>
      </c>
      <c r="L352" s="5"/>
      <c r="M352" s="5" t="s">
        <v>392</v>
      </c>
      <c r="N352" s="5"/>
      <c r="O352" s="5"/>
      <c r="P352" s="290">
        <v>812</v>
      </c>
      <c r="Q352" s="91"/>
      <c r="R352" s="91"/>
      <c r="S352" s="91"/>
      <c r="T352" s="91"/>
      <c r="U352" s="91"/>
      <c r="V352" s="99">
        <f t="shared" si="8"/>
        <v>812</v>
      </c>
      <c r="W352" s="34"/>
      <c r="X352" s="34" t="s">
        <v>305</v>
      </c>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c r="AW352" s="34"/>
      <c r="AX352" s="34"/>
      <c r="AY352" s="34"/>
      <c r="AZ352" s="34"/>
      <c r="BA352" s="5"/>
    </row>
    <row r="353" spans="1:53" ht="15.75" thickBot="1" x14ac:dyDescent="0.3">
      <c r="A353" s="24" t="s">
        <v>305</v>
      </c>
      <c r="B353" s="24" t="s">
        <v>306</v>
      </c>
      <c r="C353" s="24" t="s">
        <v>306</v>
      </c>
      <c r="D353" s="24" t="s">
        <v>306</v>
      </c>
      <c r="E353" s="24" t="s">
        <v>306</v>
      </c>
      <c r="F353" s="24" t="s">
        <v>306</v>
      </c>
      <c r="G353" s="24" t="s">
        <v>306</v>
      </c>
      <c r="H353" s="24" t="s">
        <v>306</v>
      </c>
      <c r="I353" s="192" t="s">
        <v>306</v>
      </c>
      <c r="J353" s="193" t="s">
        <v>975</v>
      </c>
      <c r="K353" s="5" t="s">
        <v>943</v>
      </c>
      <c r="L353" s="5"/>
      <c r="M353" s="5" t="s">
        <v>392</v>
      </c>
      <c r="N353" s="5"/>
      <c r="O353" s="5"/>
      <c r="P353" s="290">
        <v>301</v>
      </c>
      <c r="Q353" s="91"/>
      <c r="R353" s="91"/>
      <c r="S353" s="91"/>
      <c r="T353" s="91"/>
      <c r="U353" s="91"/>
      <c r="V353" s="99">
        <f t="shared" si="8"/>
        <v>301</v>
      </c>
      <c r="W353" s="34"/>
      <c r="X353" s="34" t="s">
        <v>305</v>
      </c>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c r="AW353" s="34"/>
      <c r="AX353" s="34"/>
      <c r="AY353" s="34"/>
      <c r="AZ353" s="34"/>
      <c r="BA353" s="5"/>
    </row>
    <row r="354" spans="1:53" ht="15.75" thickBot="1" x14ac:dyDescent="0.3">
      <c r="A354" s="24" t="s">
        <v>305</v>
      </c>
      <c r="B354" s="24" t="s">
        <v>306</v>
      </c>
      <c r="C354" s="24" t="s">
        <v>306</v>
      </c>
      <c r="D354" s="24" t="s">
        <v>306</v>
      </c>
      <c r="E354" s="24" t="s">
        <v>306</v>
      </c>
      <c r="F354" s="24" t="s">
        <v>306</v>
      </c>
      <c r="G354" s="24" t="s">
        <v>306</v>
      </c>
      <c r="H354" s="24" t="s">
        <v>306</v>
      </c>
      <c r="I354" s="192" t="s">
        <v>306</v>
      </c>
      <c r="J354" s="193" t="s">
        <v>975</v>
      </c>
      <c r="K354" s="5" t="s">
        <v>944</v>
      </c>
      <c r="L354" s="5"/>
      <c r="M354" s="5" t="s">
        <v>392</v>
      </c>
      <c r="N354" s="5"/>
      <c r="O354" s="5"/>
      <c r="P354" s="290">
        <v>530</v>
      </c>
      <c r="Q354" s="91"/>
      <c r="R354" s="91"/>
      <c r="S354" s="91"/>
      <c r="T354" s="91"/>
      <c r="U354" s="91"/>
      <c r="V354" s="99">
        <f t="shared" si="8"/>
        <v>530</v>
      </c>
      <c r="W354" s="34"/>
      <c r="X354" s="34" t="s">
        <v>305</v>
      </c>
      <c r="Y354" s="34"/>
      <c r="Z354" s="34"/>
      <c r="AA354" s="34"/>
      <c r="AB354" s="34"/>
      <c r="AC354" s="34"/>
      <c r="AD354" s="34"/>
      <c r="AE354" s="34"/>
      <c r="AF354" s="34"/>
      <c r="AG354" s="34"/>
      <c r="AH354" s="34"/>
      <c r="AI354" s="34"/>
      <c r="AJ354" s="34"/>
      <c r="AK354" s="34"/>
      <c r="AL354" s="34"/>
      <c r="AM354" s="34"/>
      <c r="AN354" s="34"/>
      <c r="AO354" s="34"/>
      <c r="AP354" s="34"/>
      <c r="AQ354" s="34"/>
      <c r="AR354" s="34"/>
      <c r="AS354" s="34"/>
      <c r="AT354" s="34"/>
      <c r="AU354" s="34"/>
      <c r="AV354" s="34"/>
      <c r="AW354" s="34"/>
      <c r="AX354" s="34"/>
      <c r="AY354" s="34"/>
      <c r="AZ354" s="34"/>
      <c r="BA354" s="5"/>
    </row>
    <row r="355" spans="1:53" ht="15.75" thickBot="1" x14ac:dyDescent="0.3">
      <c r="A355" s="24" t="s">
        <v>305</v>
      </c>
      <c r="B355" s="24" t="s">
        <v>306</v>
      </c>
      <c r="C355" s="24" t="s">
        <v>306</v>
      </c>
      <c r="D355" s="24" t="s">
        <v>306</v>
      </c>
      <c r="E355" s="24" t="s">
        <v>306</v>
      </c>
      <c r="F355" s="24" t="s">
        <v>306</v>
      </c>
      <c r="G355" s="24" t="s">
        <v>306</v>
      </c>
      <c r="H355" s="24" t="s">
        <v>306</v>
      </c>
      <c r="I355" s="192" t="s">
        <v>306</v>
      </c>
      <c r="J355" s="193" t="s">
        <v>975</v>
      </c>
      <c r="K355" s="5" t="s">
        <v>945</v>
      </c>
      <c r="L355" s="5"/>
      <c r="M355" s="5" t="s">
        <v>392</v>
      </c>
      <c r="N355" s="5"/>
      <c r="O355" s="5"/>
      <c r="P355" s="290">
        <v>889</v>
      </c>
      <c r="Q355" s="91"/>
      <c r="R355" s="91"/>
      <c r="S355" s="91"/>
      <c r="T355" s="91"/>
      <c r="U355" s="91"/>
      <c r="V355" s="99">
        <f t="shared" si="8"/>
        <v>889</v>
      </c>
      <c r="W355" s="34"/>
      <c r="X355" s="34" t="s">
        <v>305</v>
      </c>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c r="AW355" s="34"/>
      <c r="AX355" s="34"/>
      <c r="AY355" s="34"/>
      <c r="AZ355" s="34"/>
      <c r="BA355" s="5"/>
    </row>
    <row r="356" spans="1:53" ht="15.75" thickBot="1" x14ac:dyDescent="0.3">
      <c r="A356" s="24" t="s">
        <v>305</v>
      </c>
      <c r="B356" s="24" t="s">
        <v>306</v>
      </c>
      <c r="C356" s="24" t="s">
        <v>306</v>
      </c>
      <c r="D356" s="24" t="s">
        <v>306</v>
      </c>
      <c r="E356" s="24" t="s">
        <v>306</v>
      </c>
      <c r="F356" s="24" t="s">
        <v>306</v>
      </c>
      <c r="G356" s="24" t="s">
        <v>306</v>
      </c>
      <c r="H356" s="24" t="s">
        <v>306</v>
      </c>
      <c r="I356" s="192" t="s">
        <v>306</v>
      </c>
      <c r="J356" s="193" t="s">
        <v>975</v>
      </c>
      <c r="K356" s="5" t="s">
        <v>946</v>
      </c>
      <c r="L356" s="5"/>
      <c r="M356" s="5" t="s">
        <v>392</v>
      </c>
      <c r="N356" s="5"/>
      <c r="O356" s="5"/>
      <c r="P356" s="290">
        <v>413</v>
      </c>
      <c r="Q356" s="91"/>
      <c r="R356" s="91"/>
      <c r="S356" s="91"/>
      <c r="T356" s="91"/>
      <c r="U356" s="91"/>
      <c r="V356" s="99">
        <f t="shared" si="8"/>
        <v>413</v>
      </c>
      <c r="W356" s="34"/>
      <c r="X356" s="34" t="s">
        <v>305</v>
      </c>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c r="AW356" s="34"/>
      <c r="AX356" s="34"/>
      <c r="AY356" s="34"/>
      <c r="AZ356" s="34"/>
      <c r="BA356" s="5"/>
    </row>
    <row r="357" spans="1:53" ht="15.75" thickBot="1" x14ac:dyDescent="0.3">
      <c r="A357" s="24" t="s">
        <v>305</v>
      </c>
      <c r="B357" s="24" t="s">
        <v>306</v>
      </c>
      <c r="C357" s="24" t="s">
        <v>306</v>
      </c>
      <c r="D357" s="24" t="s">
        <v>306</v>
      </c>
      <c r="E357" s="24" t="s">
        <v>306</v>
      </c>
      <c r="F357" s="24" t="s">
        <v>306</v>
      </c>
      <c r="G357" s="24" t="s">
        <v>306</v>
      </c>
      <c r="H357" s="24" t="s">
        <v>306</v>
      </c>
      <c r="I357" s="192" t="s">
        <v>306</v>
      </c>
      <c r="J357" s="193" t="s">
        <v>975</v>
      </c>
      <c r="K357" s="5" t="s">
        <v>947</v>
      </c>
      <c r="L357" s="5"/>
      <c r="M357" s="5" t="s">
        <v>392</v>
      </c>
      <c r="N357" s="5"/>
      <c r="O357" s="5"/>
      <c r="P357" s="290">
        <v>421</v>
      </c>
      <c r="Q357" s="91"/>
      <c r="R357" s="91"/>
      <c r="S357" s="91"/>
      <c r="T357" s="91"/>
      <c r="U357" s="91"/>
      <c r="V357" s="99">
        <f t="shared" si="8"/>
        <v>421</v>
      </c>
      <c r="W357" s="34"/>
      <c r="X357" s="34" t="s">
        <v>305</v>
      </c>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c r="AW357" s="34"/>
      <c r="AX357" s="34"/>
      <c r="AY357" s="34"/>
      <c r="AZ357" s="34"/>
      <c r="BA357" s="5"/>
    </row>
    <row r="358" spans="1:53" ht="15.75" thickBot="1" x14ac:dyDescent="0.3">
      <c r="A358" s="24" t="s">
        <v>305</v>
      </c>
      <c r="B358" s="24" t="s">
        <v>306</v>
      </c>
      <c r="C358" s="24" t="s">
        <v>306</v>
      </c>
      <c r="D358" s="24" t="s">
        <v>306</v>
      </c>
      <c r="E358" s="24" t="s">
        <v>306</v>
      </c>
      <c r="F358" s="24" t="s">
        <v>306</v>
      </c>
      <c r="G358" s="24" t="s">
        <v>306</v>
      </c>
      <c r="H358" s="24" t="s">
        <v>306</v>
      </c>
      <c r="I358" s="192" t="s">
        <v>306</v>
      </c>
      <c r="J358" s="193" t="s">
        <v>975</v>
      </c>
      <c r="K358" s="5" t="s">
        <v>948</v>
      </c>
      <c r="L358" s="5"/>
      <c r="M358" s="5" t="s">
        <v>392</v>
      </c>
      <c r="N358" s="5"/>
      <c r="O358" s="5"/>
      <c r="P358" s="290">
        <v>57</v>
      </c>
      <c r="Q358" s="91"/>
      <c r="R358" s="91"/>
      <c r="S358" s="91"/>
      <c r="T358" s="91"/>
      <c r="U358" s="91"/>
      <c r="V358" s="99">
        <f t="shared" si="8"/>
        <v>57</v>
      </c>
      <c r="W358" s="34"/>
      <c r="X358" s="34" t="s">
        <v>305</v>
      </c>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c r="AW358" s="34"/>
      <c r="AX358" s="34"/>
      <c r="AY358" s="34"/>
      <c r="AZ358" s="34"/>
      <c r="BA358" s="5"/>
    </row>
    <row r="359" spans="1:53" ht="26.25" thickBot="1" x14ac:dyDescent="0.3">
      <c r="A359" s="24" t="s">
        <v>305</v>
      </c>
      <c r="B359" s="24" t="s">
        <v>306</v>
      </c>
      <c r="C359" s="24" t="s">
        <v>306</v>
      </c>
      <c r="D359" s="24" t="s">
        <v>306</v>
      </c>
      <c r="E359" s="24" t="s">
        <v>306</v>
      </c>
      <c r="F359" s="24" t="s">
        <v>306</v>
      </c>
      <c r="G359" s="24" t="s">
        <v>306</v>
      </c>
      <c r="H359" s="24" t="s">
        <v>306</v>
      </c>
      <c r="I359" s="192" t="s">
        <v>306</v>
      </c>
      <c r="J359" s="193" t="s">
        <v>975</v>
      </c>
      <c r="K359" s="5" t="s">
        <v>949</v>
      </c>
      <c r="L359" s="5"/>
      <c r="M359" s="5" t="s">
        <v>392</v>
      </c>
      <c r="N359" s="5"/>
      <c r="O359" s="5"/>
      <c r="P359" s="290">
        <v>2820</v>
      </c>
      <c r="Q359" s="91"/>
      <c r="R359" s="91"/>
      <c r="S359" s="91"/>
      <c r="T359" s="91"/>
      <c r="U359" s="91"/>
      <c r="V359" s="99">
        <f t="shared" si="8"/>
        <v>2820</v>
      </c>
      <c r="W359" s="34"/>
      <c r="X359" s="34" t="s">
        <v>305</v>
      </c>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c r="AW359" s="34"/>
      <c r="AX359" s="34"/>
      <c r="AY359" s="34"/>
      <c r="AZ359" s="34"/>
      <c r="BA359" s="5"/>
    </row>
    <row r="360" spans="1:53" ht="15.75" thickBot="1" x14ac:dyDescent="0.3">
      <c r="A360" s="24" t="s">
        <v>305</v>
      </c>
      <c r="B360" s="24" t="s">
        <v>306</v>
      </c>
      <c r="C360" s="24" t="s">
        <v>306</v>
      </c>
      <c r="D360" s="24" t="s">
        <v>306</v>
      </c>
      <c r="E360" s="24" t="s">
        <v>306</v>
      </c>
      <c r="F360" s="24" t="s">
        <v>306</v>
      </c>
      <c r="G360" s="24" t="s">
        <v>306</v>
      </c>
      <c r="H360" s="24" t="s">
        <v>306</v>
      </c>
      <c r="I360" s="192" t="s">
        <v>306</v>
      </c>
      <c r="J360" s="193" t="s">
        <v>975</v>
      </c>
      <c r="K360" s="5" t="s">
        <v>950</v>
      </c>
      <c r="L360" s="5"/>
      <c r="M360" s="5" t="s">
        <v>392</v>
      </c>
      <c r="N360" s="5"/>
      <c r="O360" s="5"/>
      <c r="P360" s="287">
        <v>5350</v>
      </c>
      <c r="Q360" s="91"/>
      <c r="R360" s="91"/>
      <c r="S360" s="91"/>
      <c r="T360" s="91"/>
      <c r="U360" s="91"/>
      <c r="V360" s="99">
        <f t="shared" si="8"/>
        <v>5350</v>
      </c>
      <c r="W360" s="34"/>
      <c r="X360" s="34" t="s">
        <v>305</v>
      </c>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c r="AW360" s="34"/>
      <c r="AX360" s="34"/>
      <c r="AY360" s="34"/>
      <c r="AZ360" s="34"/>
      <c r="BA360" s="5"/>
    </row>
    <row r="361" spans="1:53" ht="15.75" thickBot="1" x14ac:dyDescent="0.3">
      <c r="A361" s="24" t="s">
        <v>305</v>
      </c>
      <c r="B361" s="24" t="s">
        <v>306</v>
      </c>
      <c r="C361" s="24" t="s">
        <v>306</v>
      </c>
      <c r="D361" s="24" t="s">
        <v>306</v>
      </c>
      <c r="E361" s="24" t="s">
        <v>306</v>
      </c>
      <c r="F361" s="24" t="s">
        <v>306</v>
      </c>
      <c r="G361" s="24" t="s">
        <v>306</v>
      </c>
      <c r="H361" s="24" t="s">
        <v>306</v>
      </c>
      <c r="I361" s="192" t="s">
        <v>306</v>
      </c>
      <c r="J361" s="193" t="s">
        <v>975</v>
      </c>
      <c r="K361" s="5" t="s">
        <v>951</v>
      </c>
      <c r="L361" s="5"/>
      <c r="M361" s="5" t="s">
        <v>392</v>
      </c>
      <c r="N361" s="5"/>
      <c r="O361" s="5"/>
      <c r="P361" s="287">
        <v>2910</v>
      </c>
      <c r="Q361" s="91"/>
      <c r="R361" s="91"/>
      <c r="S361" s="91"/>
      <c r="T361" s="91"/>
      <c r="U361" s="91"/>
      <c r="V361" s="99">
        <f t="shared" si="8"/>
        <v>2910</v>
      </c>
      <c r="W361" s="34"/>
      <c r="X361" s="34" t="s">
        <v>305</v>
      </c>
      <c r="Y361" s="34"/>
      <c r="Z361" s="34"/>
      <c r="AA361" s="34"/>
      <c r="AB361" s="34"/>
      <c r="AC361" s="34"/>
      <c r="AD361" s="34"/>
      <c r="AE361" s="34"/>
      <c r="AF361" s="34"/>
      <c r="AG361" s="34"/>
      <c r="AH361" s="34"/>
      <c r="AI361" s="34"/>
      <c r="AJ361" s="34"/>
      <c r="AK361" s="34"/>
      <c r="AL361" s="34"/>
      <c r="AM361" s="34"/>
      <c r="AN361" s="34"/>
      <c r="AO361" s="34"/>
      <c r="AP361" s="34"/>
      <c r="AQ361" s="34"/>
      <c r="AR361" s="34"/>
      <c r="AS361" s="34"/>
      <c r="AT361" s="34"/>
      <c r="AU361" s="34"/>
      <c r="AV361" s="34"/>
      <c r="AW361" s="34"/>
      <c r="AX361" s="34"/>
      <c r="AY361" s="34"/>
      <c r="AZ361" s="34"/>
      <c r="BA361" s="5"/>
    </row>
    <row r="362" spans="1:53" ht="26.25" thickBot="1" x14ac:dyDescent="0.3">
      <c r="A362" s="24" t="s">
        <v>305</v>
      </c>
      <c r="B362" s="24" t="s">
        <v>306</v>
      </c>
      <c r="C362" s="24" t="s">
        <v>306</v>
      </c>
      <c r="D362" s="24" t="s">
        <v>306</v>
      </c>
      <c r="E362" s="24" t="s">
        <v>306</v>
      </c>
      <c r="F362" s="24" t="s">
        <v>306</v>
      </c>
      <c r="G362" s="24" t="s">
        <v>306</v>
      </c>
      <c r="H362" s="24" t="s">
        <v>306</v>
      </c>
      <c r="I362" s="192" t="s">
        <v>306</v>
      </c>
      <c r="J362" s="193" t="s">
        <v>975</v>
      </c>
      <c r="K362" s="5" t="s">
        <v>952</v>
      </c>
      <c r="L362" s="5"/>
      <c r="M362" s="5" t="s">
        <v>392</v>
      </c>
      <c r="N362" s="5"/>
      <c r="O362" s="5"/>
      <c r="P362" s="287">
        <v>17400</v>
      </c>
      <c r="Q362" s="91"/>
      <c r="R362" s="91"/>
      <c r="S362" s="91"/>
      <c r="T362" s="91"/>
      <c r="U362" s="91"/>
      <c r="V362" s="99">
        <f t="shared" si="8"/>
        <v>17400</v>
      </c>
      <c r="W362" s="34"/>
      <c r="X362" s="34" t="s">
        <v>305</v>
      </c>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c r="AW362" s="34"/>
      <c r="AX362" s="34"/>
      <c r="AY362" s="34"/>
      <c r="AZ362" s="34"/>
      <c r="BA362" s="5"/>
    </row>
    <row r="363" spans="1:53" ht="15.75" thickBot="1" x14ac:dyDescent="0.3">
      <c r="A363" s="24" t="s">
        <v>305</v>
      </c>
      <c r="B363" s="24" t="s">
        <v>306</v>
      </c>
      <c r="C363" s="24" t="s">
        <v>306</v>
      </c>
      <c r="D363" s="24" t="s">
        <v>306</v>
      </c>
      <c r="E363" s="24" t="s">
        <v>306</v>
      </c>
      <c r="F363" s="24" t="s">
        <v>306</v>
      </c>
      <c r="G363" s="24" t="s">
        <v>306</v>
      </c>
      <c r="H363" s="24" t="s">
        <v>306</v>
      </c>
      <c r="I363" s="192" t="s">
        <v>306</v>
      </c>
      <c r="J363" s="193" t="s">
        <v>975</v>
      </c>
      <c r="K363" s="5" t="s">
        <v>953</v>
      </c>
      <c r="L363" s="5"/>
      <c r="M363" s="5" t="s">
        <v>392</v>
      </c>
      <c r="N363" s="5"/>
      <c r="O363" s="5"/>
      <c r="P363" s="287">
        <v>9710</v>
      </c>
      <c r="Q363" s="91"/>
      <c r="R363" s="91"/>
      <c r="S363" s="91"/>
      <c r="T363" s="91"/>
      <c r="U363" s="91"/>
      <c r="V363" s="99">
        <f t="shared" si="8"/>
        <v>9710</v>
      </c>
      <c r="W363" s="34"/>
      <c r="X363" s="34" t="s">
        <v>305</v>
      </c>
      <c r="Y363" s="34"/>
      <c r="Z363" s="34"/>
      <c r="AA363" s="34"/>
      <c r="AB363" s="34"/>
      <c r="AC363" s="34"/>
      <c r="AD363" s="34"/>
      <c r="AE363" s="34"/>
      <c r="AF363" s="34"/>
      <c r="AG363" s="34"/>
      <c r="AH363" s="34"/>
      <c r="AI363" s="34"/>
      <c r="AJ363" s="34"/>
      <c r="AK363" s="34"/>
      <c r="AL363" s="34"/>
      <c r="AM363" s="34"/>
      <c r="AN363" s="34"/>
      <c r="AO363" s="34"/>
      <c r="AP363" s="34"/>
      <c r="AQ363" s="34"/>
      <c r="AR363" s="34"/>
      <c r="AS363" s="34"/>
      <c r="AT363" s="34"/>
      <c r="AU363" s="34"/>
      <c r="AV363" s="34"/>
      <c r="AW363" s="34"/>
      <c r="AX363" s="34"/>
      <c r="AY363" s="34"/>
      <c r="AZ363" s="34"/>
      <c r="BA363" s="5"/>
    </row>
    <row r="364" spans="1:53" ht="15.75" thickBot="1" x14ac:dyDescent="0.3">
      <c r="A364" s="24" t="s">
        <v>305</v>
      </c>
      <c r="B364" s="24" t="s">
        <v>306</v>
      </c>
      <c r="C364" s="24" t="s">
        <v>306</v>
      </c>
      <c r="D364" s="24" t="s">
        <v>306</v>
      </c>
      <c r="E364" s="24" t="s">
        <v>306</v>
      </c>
      <c r="F364" s="24" t="s">
        <v>306</v>
      </c>
      <c r="G364" s="24" t="s">
        <v>306</v>
      </c>
      <c r="H364" s="24" t="s">
        <v>306</v>
      </c>
      <c r="I364" s="192" t="s">
        <v>306</v>
      </c>
      <c r="J364" s="193" t="s">
        <v>975</v>
      </c>
      <c r="K364" s="5" t="s">
        <v>954</v>
      </c>
      <c r="L364" s="5"/>
      <c r="M364" s="5" t="s">
        <v>392</v>
      </c>
      <c r="N364" s="5"/>
      <c r="O364" s="5"/>
      <c r="P364" s="287">
        <v>1</v>
      </c>
      <c r="Q364" s="91"/>
      <c r="R364" s="91"/>
      <c r="S364" s="91"/>
      <c r="T364" s="91"/>
      <c r="U364" s="91"/>
      <c r="V364" s="99">
        <f t="shared" si="8"/>
        <v>1</v>
      </c>
      <c r="W364" s="34"/>
      <c r="X364" s="34" t="s">
        <v>305</v>
      </c>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c r="AW364" s="34"/>
      <c r="AX364" s="34"/>
      <c r="AY364" s="34"/>
      <c r="AZ364" s="34"/>
      <c r="BA364" s="5"/>
    </row>
    <row r="365" spans="1:53" ht="15.75" thickBot="1" x14ac:dyDescent="0.3">
      <c r="A365" s="24" t="s">
        <v>305</v>
      </c>
      <c r="B365" s="24" t="s">
        <v>306</v>
      </c>
      <c r="C365" s="24" t="s">
        <v>306</v>
      </c>
      <c r="D365" s="24" t="s">
        <v>306</v>
      </c>
      <c r="E365" s="24" t="s">
        <v>306</v>
      </c>
      <c r="F365" s="24" t="s">
        <v>306</v>
      </c>
      <c r="G365" s="24" t="s">
        <v>306</v>
      </c>
      <c r="H365" s="24" t="s">
        <v>306</v>
      </c>
      <c r="I365" s="192" t="s">
        <v>306</v>
      </c>
      <c r="J365" s="193" t="s">
        <v>975</v>
      </c>
      <c r="K365" s="5" t="s">
        <v>955</v>
      </c>
      <c r="L365" s="5"/>
      <c r="M365" s="5" t="s">
        <v>392</v>
      </c>
      <c r="N365" s="5"/>
      <c r="O365" s="5"/>
      <c r="P365" s="287">
        <v>9</v>
      </c>
      <c r="Q365" s="91"/>
      <c r="R365" s="91"/>
      <c r="S365" s="91"/>
      <c r="T365" s="91"/>
      <c r="U365" s="91"/>
      <c r="V365" s="99">
        <f t="shared" si="8"/>
        <v>9</v>
      </c>
      <c r="W365" s="34"/>
      <c r="X365" s="34" t="s">
        <v>305</v>
      </c>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c r="AW365" s="34"/>
      <c r="AX365" s="34"/>
      <c r="AY365" s="34"/>
      <c r="AZ365" s="34"/>
      <c r="BA365" s="5"/>
    </row>
    <row r="366" spans="1:53" ht="15.75" thickBot="1" x14ac:dyDescent="0.3">
      <c r="A366" s="24" t="s">
        <v>305</v>
      </c>
      <c r="B366" s="24" t="s">
        <v>306</v>
      </c>
      <c r="C366" s="24" t="s">
        <v>306</v>
      </c>
      <c r="D366" s="24" t="s">
        <v>306</v>
      </c>
      <c r="E366" s="24" t="s">
        <v>306</v>
      </c>
      <c r="F366" s="24" t="s">
        <v>306</v>
      </c>
      <c r="G366" s="24" t="s">
        <v>306</v>
      </c>
      <c r="H366" s="24" t="s">
        <v>306</v>
      </c>
      <c r="I366" s="192" t="s">
        <v>306</v>
      </c>
      <c r="J366" s="193" t="s">
        <v>975</v>
      </c>
      <c r="K366" s="5" t="s">
        <v>956</v>
      </c>
      <c r="L366" s="5"/>
      <c r="M366" s="5" t="s">
        <v>392</v>
      </c>
      <c r="N366" s="5"/>
      <c r="O366" s="5"/>
      <c r="P366" s="287">
        <v>12</v>
      </c>
      <c r="Q366" s="91"/>
      <c r="R366" s="91"/>
      <c r="S366" s="91"/>
      <c r="T366" s="91"/>
      <c r="U366" s="91"/>
      <c r="V366" s="99">
        <f t="shared" si="8"/>
        <v>12</v>
      </c>
      <c r="W366" s="34"/>
      <c r="X366" s="34" t="s">
        <v>305</v>
      </c>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c r="AW366" s="34"/>
      <c r="AX366" s="34"/>
      <c r="AY366" s="34"/>
      <c r="AZ366" s="34"/>
      <c r="BA366" s="5"/>
    </row>
    <row r="367" spans="1:53" ht="15.75" thickBot="1" x14ac:dyDescent="0.3">
      <c r="A367" s="24" t="s">
        <v>305</v>
      </c>
      <c r="B367" s="24" t="s">
        <v>306</v>
      </c>
      <c r="C367" s="24" t="s">
        <v>306</v>
      </c>
      <c r="D367" s="24" t="s">
        <v>306</v>
      </c>
      <c r="E367" s="24" t="s">
        <v>306</v>
      </c>
      <c r="F367" s="24" t="s">
        <v>306</v>
      </c>
      <c r="G367" s="24" t="s">
        <v>306</v>
      </c>
      <c r="H367" s="24" t="s">
        <v>306</v>
      </c>
      <c r="I367" s="192" t="s">
        <v>306</v>
      </c>
      <c r="J367" s="193" t="s">
        <v>975</v>
      </c>
      <c r="K367" s="5" t="s">
        <v>957</v>
      </c>
      <c r="L367" s="5"/>
      <c r="M367" s="5" t="s">
        <v>392</v>
      </c>
      <c r="N367" s="5"/>
      <c r="O367" s="5"/>
      <c r="P367" s="287">
        <v>0.06</v>
      </c>
      <c r="Q367" s="91"/>
      <c r="R367" s="91"/>
      <c r="S367" s="91"/>
      <c r="T367" s="91"/>
      <c r="U367" s="91"/>
      <c r="V367" s="99">
        <f t="shared" si="8"/>
        <v>0.06</v>
      </c>
      <c r="W367" s="34"/>
      <c r="X367" s="34" t="s">
        <v>305</v>
      </c>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c r="AW367" s="34"/>
      <c r="AX367" s="34"/>
      <c r="AY367" s="34"/>
      <c r="AZ367" s="34"/>
      <c r="BA367" s="5"/>
    </row>
    <row r="368" spans="1:53" ht="15.75" thickBot="1" x14ac:dyDescent="0.3">
      <c r="A368" s="24" t="s">
        <v>305</v>
      </c>
      <c r="B368" s="24" t="s">
        <v>306</v>
      </c>
      <c r="C368" s="24" t="s">
        <v>306</v>
      </c>
      <c r="D368" s="24" t="s">
        <v>306</v>
      </c>
      <c r="E368" s="24" t="s">
        <v>306</v>
      </c>
      <c r="F368" s="24" t="s">
        <v>306</v>
      </c>
      <c r="G368" s="24" t="s">
        <v>306</v>
      </c>
      <c r="H368" s="24" t="s">
        <v>306</v>
      </c>
      <c r="I368" s="192" t="s">
        <v>306</v>
      </c>
      <c r="J368" s="193" t="s">
        <v>975</v>
      </c>
      <c r="K368" s="5" t="s">
        <v>958</v>
      </c>
      <c r="L368" s="5"/>
      <c r="M368" s="5" t="s">
        <v>392</v>
      </c>
      <c r="N368" s="5"/>
      <c r="O368" s="5"/>
      <c r="P368" s="287">
        <v>3</v>
      </c>
      <c r="Q368" s="91"/>
      <c r="R368" s="91"/>
      <c r="S368" s="91"/>
      <c r="T368" s="91"/>
      <c r="U368" s="91"/>
      <c r="V368" s="99">
        <f t="shared" si="8"/>
        <v>3</v>
      </c>
      <c r="W368" s="34"/>
      <c r="X368" s="34" t="s">
        <v>305</v>
      </c>
      <c r="Y368" s="34"/>
      <c r="Z368" s="34"/>
      <c r="AA368" s="34"/>
      <c r="AB368" s="34"/>
      <c r="AC368" s="34"/>
      <c r="AD368" s="34"/>
      <c r="AE368" s="34"/>
      <c r="AF368" s="34"/>
      <c r="AG368" s="34"/>
      <c r="AH368" s="34"/>
      <c r="AI368" s="34"/>
      <c r="AJ368" s="34"/>
      <c r="AK368" s="34"/>
      <c r="AL368" s="34"/>
      <c r="AM368" s="34"/>
      <c r="AN368" s="34"/>
      <c r="AO368" s="34"/>
      <c r="AP368" s="34"/>
      <c r="AQ368" s="34"/>
      <c r="AR368" s="34"/>
      <c r="AS368" s="34"/>
      <c r="AT368" s="34"/>
      <c r="AU368" s="34"/>
      <c r="AV368" s="34"/>
      <c r="AW368" s="34"/>
      <c r="AX368" s="34"/>
      <c r="AY368" s="34"/>
      <c r="AZ368" s="34"/>
      <c r="BA368" s="5"/>
    </row>
    <row r="369" spans="1:53" ht="15.75" thickBot="1" x14ac:dyDescent="0.3">
      <c r="A369" s="24" t="s">
        <v>305</v>
      </c>
      <c r="B369" s="24" t="s">
        <v>306</v>
      </c>
      <c r="C369" s="24" t="s">
        <v>306</v>
      </c>
      <c r="D369" s="24" t="s">
        <v>306</v>
      </c>
      <c r="E369" s="24" t="s">
        <v>306</v>
      </c>
      <c r="F369" s="24" t="s">
        <v>306</v>
      </c>
      <c r="G369" s="24" t="s">
        <v>306</v>
      </c>
      <c r="H369" s="24" t="s">
        <v>306</v>
      </c>
      <c r="I369" s="192" t="s">
        <v>306</v>
      </c>
      <c r="J369" s="193" t="s">
        <v>975</v>
      </c>
      <c r="K369" s="5" t="s">
        <v>959</v>
      </c>
      <c r="L369" s="5"/>
      <c r="M369" s="5" t="s">
        <v>392</v>
      </c>
      <c r="N369" s="5"/>
      <c r="O369" s="5"/>
      <c r="P369" s="287">
        <v>6.0000000000000001E-3</v>
      </c>
      <c r="Q369" s="91"/>
      <c r="R369" s="91"/>
      <c r="S369" s="91"/>
      <c r="T369" s="91"/>
      <c r="U369" s="91"/>
      <c r="V369" s="99">
        <f t="shared" si="8"/>
        <v>6.0000000000000001E-3</v>
      </c>
      <c r="W369" s="34"/>
      <c r="X369" s="34" t="s">
        <v>305</v>
      </c>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5"/>
    </row>
    <row r="370" spans="1:53" ht="15.75" thickBot="1" x14ac:dyDescent="0.3">
      <c r="A370" s="24" t="s">
        <v>305</v>
      </c>
      <c r="B370" s="24" t="s">
        <v>306</v>
      </c>
      <c r="C370" s="24" t="s">
        <v>306</v>
      </c>
      <c r="D370" s="24" t="s">
        <v>306</v>
      </c>
      <c r="E370" s="24" t="s">
        <v>306</v>
      </c>
      <c r="F370" s="24" t="s">
        <v>306</v>
      </c>
      <c r="G370" s="24" t="s">
        <v>306</v>
      </c>
      <c r="H370" s="24" t="s">
        <v>306</v>
      </c>
      <c r="I370" s="192" t="s">
        <v>306</v>
      </c>
      <c r="J370" s="193" t="s">
        <v>975</v>
      </c>
      <c r="K370" s="5" t="s">
        <v>960</v>
      </c>
      <c r="L370" s="5"/>
      <c r="M370" s="5" t="s">
        <v>392</v>
      </c>
      <c r="N370" s="5"/>
      <c r="O370" s="5"/>
      <c r="P370" s="287">
        <v>5</v>
      </c>
      <c r="Q370" s="91"/>
      <c r="R370" s="91"/>
      <c r="S370" s="91"/>
      <c r="T370" s="91"/>
      <c r="U370" s="91"/>
      <c r="V370" s="99">
        <f t="shared" si="8"/>
        <v>5</v>
      </c>
      <c r="W370" s="34"/>
      <c r="X370" s="34" t="s">
        <v>305</v>
      </c>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c r="AW370" s="34"/>
      <c r="AX370" s="34"/>
      <c r="AY370" s="34"/>
      <c r="AZ370" s="34"/>
      <c r="BA370" s="5"/>
    </row>
    <row r="371" spans="1:53" ht="15.75" thickBot="1" x14ac:dyDescent="0.3">
      <c r="A371" s="24" t="s">
        <v>305</v>
      </c>
      <c r="B371" s="24" t="s">
        <v>306</v>
      </c>
      <c r="C371" s="24" t="s">
        <v>306</v>
      </c>
      <c r="D371" s="24" t="s">
        <v>306</v>
      </c>
      <c r="E371" s="24" t="s">
        <v>306</v>
      </c>
      <c r="F371" s="24" t="s">
        <v>306</v>
      </c>
      <c r="G371" s="24" t="s">
        <v>306</v>
      </c>
      <c r="H371" s="24" t="s">
        <v>306</v>
      </c>
      <c r="I371" s="192" t="s">
        <v>306</v>
      </c>
      <c r="J371" s="193" t="s">
        <v>975</v>
      </c>
      <c r="K371" s="5" t="s">
        <v>961</v>
      </c>
      <c r="L371" s="5"/>
      <c r="M371" s="5" t="s">
        <v>392</v>
      </c>
      <c r="N371" s="5"/>
      <c r="O371" s="5"/>
      <c r="P371" s="287">
        <v>5</v>
      </c>
      <c r="Q371" s="91"/>
      <c r="R371" s="91"/>
      <c r="S371" s="91"/>
      <c r="T371" s="91"/>
      <c r="U371" s="91"/>
      <c r="V371" s="99">
        <f t="shared" si="8"/>
        <v>5</v>
      </c>
      <c r="W371" s="34"/>
      <c r="X371" s="34" t="s">
        <v>305</v>
      </c>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c r="AW371" s="34"/>
      <c r="AX371" s="34"/>
      <c r="AY371" s="34"/>
      <c r="AZ371" s="34"/>
      <c r="BA371" s="5"/>
    </row>
    <row r="372" spans="1:53" ht="15.75" thickBot="1" x14ac:dyDescent="0.3">
      <c r="A372" s="24" t="s">
        <v>305</v>
      </c>
      <c r="B372" s="24" t="s">
        <v>306</v>
      </c>
      <c r="C372" s="24" t="s">
        <v>306</v>
      </c>
      <c r="D372" s="24" t="s">
        <v>306</v>
      </c>
      <c r="E372" s="24" t="s">
        <v>306</v>
      </c>
      <c r="F372" s="24" t="s">
        <v>306</v>
      </c>
      <c r="G372" s="24" t="s">
        <v>306</v>
      </c>
      <c r="H372" s="24" t="s">
        <v>306</v>
      </c>
      <c r="I372" s="192" t="s">
        <v>306</v>
      </c>
      <c r="J372" s="193" t="s">
        <v>975</v>
      </c>
      <c r="K372" s="5" t="s">
        <v>962</v>
      </c>
      <c r="L372" s="5"/>
      <c r="M372" s="5" t="s">
        <v>392</v>
      </c>
      <c r="N372" s="5"/>
      <c r="O372" s="5"/>
      <c r="P372" s="287">
        <v>0.437</v>
      </c>
      <c r="Q372" s="91"/>
      <c r="R372" s="91"/>
      <c r="S372" s="91"/>
      <c r="T372" s="91"/>
      <c r="U372" s="91"/>
      <c r="V372" s="99">
        <f t="shared" si="8"/>
        <v>0.437</v>
      </c>
      <c r="W372" s="34"/>
      <c r="X372" s="34" t="s">
        <v>305</v>
      </c>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c r="AW372" s="34"/>
      <c r="AX372" s="34"/>
      <c r="AY372" s="34"/>
      <c r="AZ372" s="34"/>
      <c r="BA372" s="5"/>
    </row>
    <row r="373" spans="1:53" ht="15.75" thickBot="1" x14ac:dyDescent="0.3">
      <c r="A373" s="24" t="s">
        <v>305</v>
      </c>
      <c r="B373" s="24" t="s">
        <v>306</v>
      </c>
      <c r="C373" s="24" t="s">
        <v>306</v>
      </c>
      <c r="D373" s="24" t="s">
        <v>306</v>
      </c>
      <c r="E373" s="24" t="s">
        <v>306</v>
      </c>
      <c r="F373" s="24" t="s">
        <v>306</v>
      </c>
      <c r="G373" s="24" t="s">
        <v>306</v>
      </c>
      <c r="H373" s="24" t="s">
        <v>306</v>
      </c>
      <c r="I373" s="192" t="s">
        <v>306</v>
      </c>
      <c r="J373" s="193" t="s">
        <v>975</v>
      </c>
      <c r="K373" s="5" t="s">
        <v>963</v>
      </c>
      <c r="L373" s="5"/>
      <c r="M373" s="5" t="s">
        <v>392</v>
      </c>
      <c r="N373" s="5"/>
      <c r="O373" s="5"/>
      <c r="P373" s="287">
        <v>2</v>
      </c>
      <c r="Q373" s="91"/>
      <c r="R373" s="91"/>
      <c r="S373" s="91"/>
      <c r="T373" s="91"/>
      <c r="U373" s="91"/>
      <c r="V373" s="99">
        <f t="shared" si="8"/>
        <v>2</v>
      </c>
      <c r="W373" s="34"/>
      <c r="X373" s="34" t="s">
        <v>305</v>
      </c>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c r="AW373" s="34"/>
      <c r="AX373" s="34"/>
      <c r="AY373" s="34"/>
      <c r="AZ373" s="34"/>
      <c r="BA373" s="5"/>
    </row>
    <row r="374" spans="1:53" ht="51.75" thickBot="1" x14ac:dyDescent="0.3">
      <c r="A374" s="24" t="s">
        <v>305</v>
      </c>
      <c r="B374" s="24" t="s">
        <v>306</v>
      </c>
      <c r="C374" s="24" t="s">
        <v>306</v>
      </c>
      <c r="D374" s="24" t="s">
        <v>306</v>
      </c>
      <c r="E374" s="24" t="s">
        <v>306</v>
      </c>
      <c r="F374" s="24" t="s">
        <v>306</v>
      </c>
      <c r="G374" s="24" t="s">
        <v>306</v>
      </c>
      <c r="H374" s="24" t="s">
        <v>306</v>
      </c>
      <c r="I374" s="192" t="s">
        <v>306</v>
      </c>
      <c r="J374" s="193" t="s">
        <v>975</v>
      </c>
      <c r="K374" s="5" t="s">
        <v>984</v>
      </c>
      <c r="L374" s="5"/>
      <c r="M374" s="5" t="s">
        <v>392</v>
      </c>
      <c r="N374" s="5"/>
      <c r="O374" s="5"/>
      <c r="P374" s="287">
        <v>1</v>
      </c>
      <c r="Q374" s="91"/>
      <c r="R374" s="91"/>
      <c r="S374" s="91"/>
      <c r="T374" s="91"/>
      <c r="U374" s="91"/>
      <c r="V374" s="99">
        <f t="shared" si="8"/>
        <v>1</v>
      </c>
      <c r="W374" s="34"/>
      <c r="X374" s="34" t="s">
        <v>305</v>
      </c>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c r="AW374" s="34"/>
      <c r="AX374" s="34"/>
      <c r="AY374" s="34"/>
      <c r="AZ374" s="34"/>
      <c r="BA374" s="5" t="s">
        <v>986</v>
      </c>
    </row>
    <row r="375" spans="1:53" ht="51.75" thickBot="1" x14ac:dyDescent="0.3">
      <c r="A375" s="24" t="s">
        <v>305</v>
      </c>
      <c r="B375" s="24" t="s">
        <v>306</v>
      </c>
      <c r="C375" s="24" t="s">
        <v>306</v>
      </c>
      <c r="D375" s="24" t="s">
        <v>306</v>
      </c>
      <c r="E375" s="24" t="s">
        <v>306</v>
      </c>
      <c r="F375" s="24" t="s">
        <v>306</v>
      </c>
      <c r="G375" s="24" t="s">
        <v>306</v>
      </c>
      <c r="H375" s="24" t="s">
        <v>306</v>
      </c>
      <c r="I375" s="192" t="s">
        <v>306</v>
      </c>
      <c r="J375" s="193" t="s">
        <v>975</v>
      </c>
      <c r="K375" s="5" t="s">
        <v>985</v>
      </c>
      <c r="L375" s="5"/>
      <c r="M375" s="5" t="s">
        <v>392</v>
      </c>
      <c r="N375" s="5"/>
      <c r="O375" s="5"/>
      <c r="P375" s="287">
        <v>1</v>
      </c>
      <c r="Q375" s="91"/>
      <c r="R375" s="91"/>
      <c r="S375" s="91"/>
      <c r="T375" s="91"/>
      <c r="U375" s="91"/>
      <c r="V375" s="99">
        <f t="shared" si="8"/>
        <v>1</v>
      </c>
      <c r="W375" s="34"/>
      <c r="X375" s="34" t="s">
        <v>305</v>
      </c>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c r="AW375" s="34"/>
      <c r="AX375" s="34"/>
      <c r="AY375" s="34"/>
      <c r="AZ375" s="34"/>
      <c r="BA375" s="5" t="s">
        <v>986</v>
      </c>
    </row>
    <row r="376" spans="1:53" ht="15.75" thickBot="1" x14ac:dyDescent="0.3">
      <c r="A376" s="24" t="s">
        <v>305</v>
      </c>
      <c r="B376" s="24" t="s">
        <v>306</v>
      </c>
      <c r="C376" s="24" t="s">
        <v>306</v>
      </c>
      <c r="D376" s="24" t="s">
        <v>306</v>
      </c>
      <c r="E376" s="24" t="s">
        <v>306</v>
      </c>
      <c r="F376" s="24" t="s">
        <v>306</v>
      </c>
      <c r="G376" s="24" t="s">
        <v>306</v>
      </c>
      <c r="H376" s="24" t="s">
        <v>306</v>
      </c>
      <c r="I376" s="192" t="s">
        <v>306</v>
      </c>
      <c r="J376" s="193" t="s">
        <v>1041</v>
      </c>
      <c r="K376" s="5" t="s">
        <v>969</v>
      </c>
      <c r="L376" s="5"/>
      <c r="M376" s="5" t="s">
        <v>1043</v>
      </c>
      <c r="N376" s="5"/>
      <c r="O376" s="5"/>
      <c r="P376" s="300">
        <v>0.55900000000000005</v>
      </c>
      <c r="Q376" s="91"/>
      <c r="R376" s="91"/>
      <c r="S376" s="91"/>
      <c r="T376" s="91"/>
      <c r="U376" s="91"/>
      <c r="V376" s="99">
        <f t="shared" si="8"/>
        <v>0.55900000000000005</v>
      </c>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c r="AW376" s="34"/>
      <c r="AX376" s="34"/>
      <c r="AY376" s="34"/>
      <c r="AZ376" s="34" t="s">
        <v>305</v>
      </c>
      <c r="BA376" s="5"/>
    </row>
    <row r="377" spans="1:53" ht="15.75" thickBot="1" x14ac:dyDescent="0.3">
      <c r="A377" s="24" t="s">
        <v>305</v>
      </c>
      <c r="B377" s="24" t="s">
        <v>306</v>
      </c>
      <c r="C377" s="24" t="s">
        <v>306</v>
      </c>
      <c r="D377" s="24" t="s">
        <v>306</v>
      </c>
      <c r="E377" s="24" t="s">
        <v>306</v>
      </c>
      <c r="F377" s="24" t="s">
        <v>306</v>
      </c>
      <c r="G377" s="24" t="s">
        <v>306</v>
      </c>
      <c r="H377" s="24" t="s">
        <v>306</v>
      </c>
      <c r="I377" s="192" t="s">
        <v>306</v>
      </c>
      <c r="J377" s="193" t="s">
        <v>1041</v>
      </c>
      <c r="K377" s="5" t="s">
        <v>1042</v>
      </c>
      <c r="L377" s="5"/>
      <c r="M377" s="5" t="s">
        <v>1043</v>
      </c>
      <c r="N377" s="5"/>
      <c r="O377" s="5"/>
      <c r="P377" s="300">
        <v>0.27800000000000002</v>
      </c>
      <c r="Q377" s="91"/>
      <c r="R377" s="91"/>
      <c r="S377" s="91"/>
      <c r="T377" s="91"/>
      <c r="U377" s="91"/>
      <c r="V377" s="99">
        <f t="shared" si="8"/>
        <v>0.27800000000000002</v>
      </c>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c r="AW377" s="34"/>
      <c r="AX377" s="34"/>
      <c r="AY377" s="34"/>
      <c r="AZ377" s="34" t="s">
        <v>305</v>
      </c>
      <c r="BA377" s="5"/>
    </row>
    <row r="378" spans="1:53" ht="64.5" thickBot="1" x14ac:dyDescent="0.3">
      <c r="A378" s="24" t="s">
        <v>305</v>
      </c>
      <c r="B378" s="24" t="s">
        <v>306</v>
      </c>
      <c r="C378" s="24" t="s">
        <v>306</v>
      </c>
      <c r="D378" s="24" t="s">
        <v>306</v>
      </c>
      <c r="E378" s="24" t="s">
        <v>306</v>
      </c>
      <c r="F378" s="24" t="s">
        <v>306</v>
      </c>
      <c r="G378" s="24" t="s">
        <v>306</v>
      </c>
      <c r="H378" s="24" t="s">
        <v>306</v>
      </c>
      <c r="I378" s="192" t="s">
        <v>306</v>
      </c>
      <c r="J378" s="193" t="s">
        <v>1041</v>
      </c>
      <c r="K378" s="5" t="s">
        <v>1061</v>
      </c>
      <c r="L378" s="5"/>
      <c r="M378" s="5" t="s">
        <v>1043</v>
      </c>
      <c r="N378" s="5"/>
      <c r="O378" s="5"/>
      <c r="P378" s="304">
        <v>2.3619371282922685E-3</v>
      </c>
      <c r="Q378" s="91"/>
      <c r="R378" s="91"/>
      <c r="S378" s="91"/>
      <c r="T378" s="91"/>
      <c r="U378" s="91"/>
      <c r="V378" s="99">
        <f t="shared" si="8"/>
        <v>2E-3</v>
      </c>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t="s">
        <v>305</v>
      </c>
      <c r="BA378" s="5" t="s">
        <v>1062</v>
      </c>
    </row>
    <row r="379" spans="1:53" ht="15.75" thickBot="1" x14ac:dyDescent="0.3">
      <c r="A379" s="24" t="s">
        <v>305</v>
      </c>
      <c r="B379" s="24" t="s">
        <v>306</v>
      </c>
      <c r="C379" s="24" t="s">
        <v>306</v>
      </c>
      <c r="D379" s="24" t="s">
        <v>306</v>
      </c>
      <c r="E379" s="24" t="s">
        <v>306</v>
      </c>
      <c r="F379" s="24" t="s">
        <v>306</v>
      </c>
      <c r="G379" s="24" t="s">
        <v>306</v>
      </c>
      <c r="H379" s="24" t="s">
        <v>306</v>
      </c>
      <c r="I379" s="192" t="s">
        <v>306</v>
      </c>
      <c r="J379" s="193" t="s">
        <v>1041</v>
      </c>
      <c r="K379" s="5" t="s">
        <v>971</v>
      </c>
      <c r="L379" s="5"/>
      <c r="M379" s="5" t="s">
        <v>1043</v>
      </c>
      <c r="N379" s="5"/>
      <c r="O379" s="5"/>
      <c r="P379" s="300">
        <v>762.96</v>
      </c>
      <c r="Q379" s="91"/>
      <c r="R379" s="91"/>
      <c r="S379" s="91"/>
      <c r="T379" s="91"/>
      <c r="U379" s="91"/>
      <c r="V379" s="99">
        <f t="shared" si="8"/>
        <v>762.96</v>
      </c>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c r="AW379" s="34"/>
      <c r="AX379" s="34"/>
      <c r="AY379" s="34"/>
      <c r="AZ379" s="34" t="s">
        <v>305</v>
      </c>
      <c r="BA379" s="5"/>
    </row>
    <row r="380" spans="1:53" ht="15.75" thickBot="1" x14ac:dyDescent="0.3">
      <c r="A380" s="24" t="s">
        <v>305</v>
      </c>
      <c r="B380" s="24" t="s">
        <v>306</v>
      </c>
      <c r="C380" s="24" t="s">
        <v>306</v>
      </c>
      <c r="D380" s="24" t="s">
        <v>306</v>
      </c>
      <c r="E380" s="24" t="s">
        <v>306</v>
      </c>
      <c r="F380" s="24" t="s">
        <v>306</v>
      </c>
      <c r="G380" s="24" t="s">
        <v>306</v>
      </c>
      <c r="H380" s="24" t="s">
        <v>306</v>
      </c>
      <c r="I380" s="192" t="s">
        <v>306</v>
      </c>
      <c r="J380" s="193" t="s">
        <v>1041</v>
      </c>
      <c r="K380" s="5" t="s">
        <v>972</v>
      </c>
      <c r="L380" s="5"/>
      <c r="M380" s="5" t="s">
        <v>1043</v>
      </c>
      <c r="N380" s="5"/>
      <c r="O380" s="5"/>
      <c r="P380" s="300">
        <v>3721.1</v>
      </c>
      <c r="Q380" s="91"/>
      <c r="R380" s="91"/>
      <c r="S380" s="91"/>
      <c r="T380" s="91"/>
      <c r="U380" s="91"/>
      <c r="V380" s="99">
        <f t="shared" si="8"/>
        <v>3721.1</v>
      </c>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c r="AW380" s="34"/>
      <c r="AX380" s="34"/>
      <c r="AY380" s="34"/>
      <c r="AZ380" s="34" t="s">
        <v>305</v>
      </c>
      <c r="BA380" s="5"/>
    </row>
    <row r="381" spans="1:53" ht="15.75" thickBot="1" x14ac:dyDescent="0.3">
      <c r="A381" s="24" t="s">
        <v>305</v>
      </c>
      <c r="B381" s="24" t="s">
        <v>306</v>
      </c>
      <c r="C381" s="24" t="s">
        <v>306</v>
      </c>
      <c r="D381" s="24" t="s">
        <v>306</v>
      </c>
      <c r="E381" s="24" t="s">
        <v>306</v>
      </c>
      <c r="F381" s="24" t="s">
        <v>306</v>
      </c>
      <c r="G381" s="24" t="s">
        <v>306</v>
      </c>
      <c r="H381" s="24" t="s">
        <v>306</v>
      </c>
      <c r="I381" s="192" t="s">
        <v>306</v>
      </c>
      <c r="J381" s="193" t="s">
        <v>1041</v>
      </c>
      <c r="K381" s="5" t="s">
        <v>973</v>
      </c>
      <c r="L381" s="5"/>
      <c r="M381" s="5" t="s">
        <v>1043</v>
      </c>
      <c r="N381" s="5"/>
      <c r="O381" s="5"/>
      <c r="P381" s="300">
        <v>197.86</v>
      </c>
      <c r="Q381" s="91"/>
      <c r="R381" s="91"/>
      <c r="S381" s="91"/>
      <c r="T381" s="91"/>
      <c r="U381" s="91"/>
      <c r="V381" s="99">
        <f t="shared" si="8"/>
        <v>197.86</v>
      </c>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c r="AW381" s="34"/>
      <c r="AX381" s="34"/>
      <c r="AY381" s="34"/>
      <c r="AZ381" s="34" t="s">
        <v>305</v>
      </c>
      <c r="BA381" s="5"/>
    </row>
  </sheetData>
  <sheetProtection algorithmName="SHA-512" hashValue="XW2AwKEZzQyyseNRMUERhhtcuRzv2f2CvkPeJ2Qw90pJNtuCLsOTvK8u/bgqkpCoQNFv11Zp2xNvcbFk/h3tMQ==" saltValue="PLiDdP90t6BPTrq4nCBHFg==" spinCount="100000" sheet="1" objects="1" scenarios="1"/>
  <mergeCells count="2">
    <mergeCell ref="W1:AU1"/>
    <mergeCell ref="AV1:AX1"/>
  </mergeCells>
  <conditionalFormatting sqref="A3:I381">
    <cfRule type="containsText" dxfId="5" priority="1" operator="containsText" text="N">
      <formula>NOT(ISERROR(SEARCH("N",A3)))</formula>
    </cfRule>
    <cfRule type="containsText" dxfId="4" priority="2" operator="containsText" text="Y">
      <formula>NOT(ISERROR(SEARCH("Y",A3)))</formula>
    </cfRule>
  </conditionalFormatting>
  <conditionalFormatting sqref="W110:AH213">
    <cfRule type="containsText" dxfId="3" priority="3" operator="containsText" text="Y">
      <formula>NOT(ISERROR(SEARCH("Y",W110)))</formula>
    </cfRule>
    <cfRule type="containsBlanks" dxfId="2" priority="4">
      <formula>LEN(TRIM(W110))=0</formula>
    </cfRule>
  </conditionalFormatting>
  <conditionalFormatting sqref="W3:AZ108 W109:AI109 AJ109:AZ261 AI110:AI318 Y214:AH318 W214:X372 AJ262:AT318 AU262:AZ372 Y319:AT372 W373:AZ381">
    <cfRule type="containsText" dxfId="1" priority="5" operator="containsText" text="Y">
      <formula>NOT(ISERROR(SEARCH("Y",W3)))</formula>
    </cfRule>
    <cfRule type="containsBlanks" dxfId="0" priority="6">
      <formula>LEN(TRIM(W3))=0</formula>
    </cfRule>
  </conditionalFormatting>
  <dataValidations count="1">
    <dataValidation type="list" allowBlank="1" showInputMessage="1" showErrorMessage="1" sqref="W3:AZ381 A3:I381" xr:uid="{00000000-0002-0000-0700-000000000000}">
      <formula1>Yesno</formula1>
    </dataValidation>
  </dataValidation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sheetPr>
  <dimension ref="B1:T78"/>
  <sheetViews>
    <sheetView zoomScale="70" workbookViewId="0">
      <selection activeCell="I14" sqref="I14"/>
    </sheetView>
  </sheetViews>
  <sheetFormatPr defaultColWidth="8.85546875" defaultRowHeight="15" x14ac:dyDescent="0.25"/>
  <cols>
    <col min="1" max="1" width="8.85546875" style="63" customWidth="1"/>
    <col min="2" max="2" width="30" style="63" customWidth="1"/>
    <col min="3" max="3" width="21.85546875" style="63" customWidth="1"/>
    <col min="4" max="4" width="30.140625" style="63" customWidth="1"/>
    <col min="5" max="5" width="26.140625" style="63" customWidth="1"/>
    <col min="6" max="11" width="8.85546875" style="63" customWidth="1"/>
    <col min="12" max="12" width="17.140625" style="63" customWidth="1"/>
    <col min="13" max="13" width="23.85546875" style="63" customWidth="1"/>
    <col min="14" max="14" width="27.85546875" style="63" customWidth="1"/>
    <col min="15" max="16" width="8.85546875" style="63" customWidth="1"/>
    <col min="17" max="17" width="21.85546875" style="63" customWidth="1"/>
    <col min="18" max="18" width="19.5703125" style="63" customWidth="1"/>
    <col min="19" max="19" width="38.140625" style="63" customWidth="1"/>
    <col min="20" max="20" width="8.85546875" style="63" customWidth="1"/>
    <col min="21" max="16384" width="8.85546875" style="63"/>
  </cols>
  <sheetData>
    <row r="1" spans="2:20" x14ac:dyDescent="0.25">
      <c r="B1" s="80"/>
    </row>
    <row r="3" spans="2:20" ht="27" thickBot="1" x14ac:dyDescent="0.45">
      <c r="B3" s="170" t="s">
        <v>436</v>
      </c>
      <c r="C3" s="102"/>
      <c r="D3" s="102"/>
      <c r="E3" s="102"/>
    </row>
    <row r="4" spans="2:20" ht="18.75" x14ac:dyDescent="0.3">
      <c r="B4" s="171" t="s">
        <v>769</v>
      </c>
      <c r="C4" s="168"/>
      <c r="D4" s="168"/>
      <c r="E4" s="168"/>
    </row>
    <row r="5" spans="2:20" ht="18.75" x14ac:dyDescent="0.3">
      <c r="B5" s="172" t="s">
        <v>437</v>
      </c>
      <c r="C5" s="168"/>
      <c r="D5" s="168"/>
      <c r="E5" s="168"/>
    </row>
    <row r="6" spans="2:20" ht="18.75" x14ac:dyDescent="0.3">
      <c r="B6" s="172" t="s">
        <v>438</v>
      </c>
      <c r="C6" s="168"/>
      <c r="D6" s="168"/>
      <c r="E6" s="168"/>
    </row>
    <row r="7" spans="2:20" ht="18.75" x14ac:dyDescent="0.3">
      <c r="B7" s="173" t="s">
        <v>439</v>
      </c>
      <c r="C7" s="168"/>
      <c r="D7" s="168"/>
      <c r="E7" s="168"/>
    </row>
    <row r="8" spans="2:20" ht="18.75" x14ac:dyDescent="0.3">
      <c r="B8" s="173" t="s">
        <v>459</v>
      </c>
      <c r="C8" s="168"/>
      <c r="D8" s="168"/>
      <c r="E8" s="168"/>
    </row>
    <row r="9" spans="2:20" ht="18.75" x14ac:dyDescent="0.3">
      <c r="B9" s="173" t="s">
        <v>770</v>
      </c>
      <c r="C9" s="168"/>
      <c r="D9" s="168"/>
      <c r="E9" s="168"/>
    </row>
    <row r="11" spans="2:20" ht="18.95" customHeight="1" x14ac:dyDescent="0.25">
      <c r="B11" s="103" t="s">
        <v>437</v>
      </c>
      <c r="L11" s="103" t="s">
        <v>438</v>
      </c>
      <c r="Q11" s="103" t="s">
        <v>439</v>
      </c>
    </row>
    <row r="12" spans="2:20" ht="48" customHeight="1" x14ac:dyDescent="0.25">
      <c r="B12" s="380" t="s">
        <v>793</v>
      </c>
      <c r="C12" s="380"/>
      <c r="D12" s="380"/>
      <c r="E12" s="380"/>
      <c r="F12" s="380"/>
      <c r="G12" s="380"/>
      <c r="H12" s="380"/>
      <c r="I12" s="380"/>
      <c r="L12" s="374" t="s">
        <v>440</v>
      </c>
      <c r="M12" s="374"/>
      <c r="N12" s="374"/>
      <c r="O12" s="374"/>
      <c r="Q12" s="374" t="s">
        <v>441</v>
      </c>
      <c r="R12" s="374"/>
      <c r="S12" s="374"/>
      <c r="T12" s="374"/>
    </row>
    <row r="13" spans="2:20" ht="32.1" customHeight="1" x14ac:dyDescent="0.25">
      <c r="B13" s="169" t="s">
        <v>771</v>
      </c>
      <c r="L13" s="374"/>
      <c r="M13" s="374"/>
      <c r="N13" s="374"/>
      <c r="O13" s="374"/>
    </row>
    <row r="14" spans="2:20" ht="15.75" thickBot="1" x14ac:dyDescent="0.3">
      <c r="B14" s="167" t="s">
        <v>727</v>
      </c>
    </row>
    <row r="15" spans="2:20" ht="50.1" customHeight="1" thickBot="1" x14ac:dyDescent="0.3">
      <c r="B15" s="2" t="s">
        <v>442</v>
      </c>
      <c r="C15" s="3" t="s">
        <v>443</v>
      </c>
      <c r="D15" s="3" t="s">
        <v>725</v>
      </c>
      <c r="E15" s="3" t="s">
        <v>726</v>
      </c>
      <c r="F15" s="378"/>
      <c r="G15" s="379"/>
      <c r="H15" s="379"/>
      <c r="L15" s="2" t="s">
        <v>442</v>
      </c>
      <c r="M15" s="3" t="s">
        <v>444</v>
      </c>
      <c r="N15" s="3" t="s">
        <v>445</v>
      </c>
      <c r="Q15" s="2" t="s">
        <v>446</v>
      </c>
      <c r="R15" s="3" t="s">
        <v>447</v>
      </c>
      <c r="S15" s="3" t="s">
        <v>448</v>
      </c>
    </row>
    <row r="16" spans="2:20" ht="25.5" customHeight="1" thickBot="1" x14ac:dyDescent="0.3">
      <c r="B16" s="4" t="s">
        <v>695</v>
      </c>
      <c r="C16" s="5" t="s">
        <v>696</v>
      </c>
      <c r="D16" s="5">
        <v>132</v>
      </c>
      <c r="E16" s="5">
        <v>85</v>
      </c>
      <c r="L16" s="4" t="s">
        <v>449</v>
      </c>
      <c r="M16" s="5">
        <v>24</v>
      </c>
      <c r="N16" s="5">
        <v>36</v>
      </c>
      <c r="Q16" s="4" t="s">
        <v>450</v>
      </c>
      <c r="R16" s="106">
        <v>0.64</v>
      </c>
      <c r="S16" s="375" t="s">
        <v>451</v>
      </c>
    </row>
    <row r="17" spans="2:19" ht="42.6" customHeight="1" thickBot="1" x14ac:dyDescent="0.3">
      <c r="B17" s="4" t="s">
        <v>695</v>
      </c>
      <c r="C17" s="5" t="s">
        <v>697</v>
      </c>
      <c r="D17" s="5">
        <v>139</v>
      </c>
      <c r="E17" s="5">
        <v>47</v>
      </c>
      <c r="Q17" s="4" t="s">
        <v>452</v>
      </c>
      <c r="R17" s="107">
        <v>6.6000000000000003E-2</v>
      </c>
      <c r="S17" s="376"/>
    </row>
    <row r="18" spans="2:19" ht="49.5" customHeight="1" thickBot="1" x14ac:dyDescent="0.3">
      <c r="B18" s="4" t="s">
        <v>695</v>
      </c>
      <c r="C18" s="5" t="s">
        <v>698</v>
      </c>
      <c r="D18" s="5">
        <v>319</v>
      </c>
      <c r="E18" s="5">
        <v>83</v>
      </c>
      <c r="L18" s="381" t="s">
        <v>453</v>
      </c>
      <c r="M18" s="381"/>
      <c r="N18" s="381"/>
      <c r="O18" s="381"/>
      <c r="Q18" s="4" t="s">
        <v>454</v>
      </c>
      <c r="R18" s="107">
        <v>4.0000000000000001E-3</v>
      </c>
      <c r="S18" s="376"/>
    </row>
    <row r="19" spans="2:19" ht="39.6" customHeight="1" thickBot="1" x14ac:dyDescent="0.3">
      <c r="B19" s="4" t="s">
        <v>695</v>
      </c>
      <c r="C19" s="5" t="s">
        <v>699</v>
      </c>
      <c r="D19" s="5">
        <v>311</v>
      </c>
      <c r="E19" s="5">
        <v>39</v>
      </c>
      <c r="L19" s="2" t="s">
        <v>442</v>
      </c>
      <c r="M19" s="3" t="s">
        <v>455</v>
      </c>
      <c r="Q19" s="4" t="s">
        <v>456</v>
      </c>
      <c r="R19" s="107">
        <v>9.5000000000000001E-2</v>
      </c>
      <c r="S19" s="376"/>
    </row>
    <row r="20" spans="2:19" ht="42.6" customHeight="1" thickBot="1" x14ac:dyDescent="0.3">
      <c r="B20" s="4" t="s">
        <v>695</v>
      </c>
      <c r="C20" s="5" t="s">
        <v>700</v>
      </c>
      <c r="D20" s="5">
        <v>432</v>
      </c>
      <c r="E20" s="5">
        <v>68</v>
      </c>
      <c r="L20" s="4" t="s">
        <v>449</v>
      </c>
      <c r="M20" s="5" t="s">
        <v>457</v>
      </c>
      <c r="Q20" s="4" t="s">
        <v>458</v>
      </c>
      <c r="R20" s="107">
        <v>6.0000000000000001E-3</v>
      </c>
      <c r="S20" s="376"/>
    </row>
    <row r="21" spans="2:19" ht="52.5" customHeight="1" thickBot="1" x14ac:dyDescent="0.3">
      <c r="B21" s="4" t="s">
        <v>701</v>
      </c>
      <c r="C21" s="5" t="s">
        <v>702</v>
      </c>
      <c r="D21" s="5">
        <v>117</v>
      </c>
      <c r="E21" s="5">
        <v>76</v>
      </c>
      <c r="Q21" s="4" t="s">
        <v>374</v>
      </c>
      <c r="R21" s="107">
        <v>4.4999999999999998E-2</v>
      </c>
      <c r="S21" s="376"/>
    </row>
    <row r="22" spans="2:19" ht="15.75" thickBot="1" x14ac:dyDescent="0.3">
      <c r="B22" s="4" t="s">
        <v>701</v>
      </c>
      <c r="C22" s="5" t="s">
        <v>703</v>
      </c>
      <c r="D22" s="5">
        <v>121</v>
      </c>
      <c r="E22" s="5">
        <v>55</v>
      </c>
      <c r="L22" s="103" t="s">
        <v>459</v>
      </c>
      <c r="Q22" s="4" t="s">
        <v>377</v>
      </c>
      <c r="R22" s="107">
        <v>1.9E-2</v>
      </c>
      <c r="S22" s="376"/>
    </row>
    <row r="23" spans="2:19" ht="39.6" customHeight="1" thickBot="1" x14ac:dyDescent="0.3">
      <c r="B23" s="4" t="s">
        <v>701</v>
      </c>
      <c r="C23" s="5" t="s">
        <v>704</v>
      </c>
      <c r="D23" s="5">
        <v>223</v>
      </c>
      <c r="E23" s="5">
        <v>69</v>
      </c>
      <c r="L23" s="381" t="s">
        <v>460</v>
      </c>
      <c r="M23" s="381"/>
      <c r="N23" s="381"/>
      <c r="O23" s="381"/>
      <c r="Q23" s="4" t="s">
        <v>461</v>
      </c>
      <c r="R23" s="107">
        <v>1.4E-2</v>
      </c>
      <c r="S23" s="376"/>
    </row>
    <row r="24" spans="2:19" ht="15.75" thickBot="1" x14ac:dyDescent="0.3">
      <c r="B24" s="4" t="s">
        <v>701</v>
      </c>
      <c r="C24" s="5" t="s">
        <v>705</v>
      </c>
      <c r="D24" s="5">
        <v>190</v>
      </c>
      <c r="E24" s="5">
        <v>134</v>
      </c>
      <c r="Q24" s="4" t="s">
        <v>462</v>
      </c>
      <c r="R24" s="107">
        <v>0.104</v>
      </c>
      <c r="S24" s="376"/>
    </row>
    <row r="25" spans="2:19" ht="65.45" customHeight="1" thickBot="1" x14ac:dyDescent="0.3">
      <c r="B25" s="4" t="s">
        <v>449</v>
      </c>
      <c r="C25" s="5" t="s">
        <v>706</v>
      </c>
      <c r="D25" s="5">
        <v>108</v>
      </c>
      <c r="E25" s="5">
        <v>89</v>
      </c>
      <c r="L25" s="2" t="s">
        <v>446</v>
      </c>
      <c r="M25" s="3" t="s">
        <v>463</v>
      </c>
      <c r="N25" s="3" t="s">
        <v>448</v>
      </c>
      <c r="Q25" s="4" t="s">
        <v>464</v>
      </c>
      <c r="R25" s="107">
        <v>5.0000000000000001E-3</v>
      </c>
      <c r="S25" s="377"/>
    </row>
    <row r="26" spans="2:19" ht="52.5" customHeight="1" thickBot="1" x14ac:dyDescent="0.3">
      <c r="B26" s="4" t="s">
        <v>449</v>
      </c>
      <c r="C26" s="5" t="s">
        <v>707</v>
      </c>
      <c r="D26" s="5">
        <v>178</v>
      </c>
      <c r="E26" s="5">
        <v>226</v>
      </c>
      <c r="L26" s="4" t="s">
        <v>377</v>
      </c>
      <c r="M26" s="5">
        <v>0.153</v>
      </c>
      <c r="N26" s="5" t="s">
        <v>465</v>
      </c>
    </row>
    <row r="27" spans="2:19" ht="90" customHeight="1" thickBot="1" x14ac:dyDescent="0.3">
      <c r="B27" s="4" t="s">
        <v>708</v>
      </c>
      <c r="C27" s="5" t="s">
        <v>709</v>
      </c>
      <c r="D27" s="5">
        <v>122</v>
      </c>
      <c r="E27" s="5">
        <v>43</v>
      </c>
      <c r="L27" s="4" t="s">
        <v>374</v>
      </c>
      <c r="M27" s="5">
        <v>0.13</v>
      </c>
      <c r="N27" s="5" t="s">
        <v>466</v>
      </c>
    </row>
    <row r="28" spans="2:19" ht="39.6" customHeight="1" thickBot="1" x14ac:dyDescent="0.3">
      <c r="B28" s="4" t="s">
        <v>708</v>
      </c>
      <c r="C28" s="5" t="s">
        <v>710</v>
      </c>
      <c r="D28" s="5">
        <v>113</v>
      </c>
      <c r="E28" s="5">
        <v>51</v>
      </c>
      <c r="L28" s="4" t="s">
        <v>369</v>
      </c>
      <c r="M28" s="104">
        <v>1.9</v>
      </c>
      <c r="N28" s="5" t="s">
        <v>467</v>
      </c>
    </row>
    <row r="29" spans="2:19" ht="35.1" customHeight="1" thickBot="1" x14ac:dyDescent="0.3">
      <c r="B29" s="4" t="s">
        <v>708</v>
      </c>
      <c r="C29" s="5" t="s">
        <v>711</v>
      </c>
      <c r="D29" s="5">
        <v>157</v>
      </c>
      <c r="E29" s="5">
        <v>51</v>
      </c>
      <c r="L29" s="368" t="s">
        <v>468</v>
      </c>
      <c r="M29" s="368" t="s">
        <v>469</v>
      </c>
      <c r="N29" s="105" t="s">
        <v>470</v>
      </c>
    </row>
    <row r="30" spans="2:19" ht="52.5" customHeight="1" thickBot="1" x14ac:dyDescent="0.3">
      <c r="B30" s="4" t="s">
        <v>708</v>
      </c>
      <c r="C30" s="5" t="s">
        <v>712</v>
      </c>
      <c r="D30" s="5">
        <v>187</v>
      </c>
      <c r="E30" s="5">
        <v>36</v>
      </c>
      <c r="L30" s="369"/>
      <c r="M30" s="369"/>
      <c r="N30" s="371" t="s">
        <v>471</v>
      </c>
    </row>
    <row r="31" spans="2:19" ht="51.95" customHeight="1" thickBot="1" x14ac:dyDescent="0.3">
      <c r="B31" s="4" t="s">
        <v>713</v>
      </c>
      <c r="C31" s="5" t="s">
        <v>714</v>
      </c>
      <c r="D31" s="5">
        <v>303</v>
      </c>
      <c r="E31" s="5">
        <v>118</v>
      </c>
      <c r="L31" s="370"/>
      <c r="M31" s="370"/>
      <c r="N31" s="372"/>
    </row>
    <row r="32" spans="2:19" ht="51.95" customHeight="1" thickBot="1" x14ac:dyDescent="0.3">
      <c r="B32" s="4" t="s">
        <v>713</v>
      </c>
      <c r="C32" s="5" t="s">
        <v>715</v>
      </c>
      <c r="D32" s="5">
        <v>267</v>
      </c>
      <c r="E32" s="5">
        <v>132</v>
      </c>
      <c r="L32" s="165"/>
      <c r="M32" s="165"/>
      <c r="N32" s="166"/>
    </row>
    <row r="33" spans="2:14" ht="51.95" customHeight="1" thickBot="1" x14ac:dyDescent="0.3">
      <c r="B33" s="4" t="s">
        <v>713</v>
      </c>
      <c r="C33" s="5" t="s">
        <v>716</v>
      </c>
      <c r="D33" s="5">
        <v>492</v>
      </c>
      <c r="E33" s="5">
        <v>78</v>
      </c>
      <c r="L33" s="165"/>
      <c r="M33" s="165"/>
      <c r="N33" s="166"/>
    </row>
    <row r="34" spans="2:14" ht="15.75" thickBot="1" x14ac:dyDescent="0.3">
      <c r="B34" s="4" t="s">
        <v>717</v>
      </c>
      <c r="C34" s="5" t="s">
        <v>718</v>
      </c>
      <c r="D34" s="5">
        <v>118</v>
      </c>
      <c r="E34" s="5">
        <v>108</v>
      </c>
    </row>
    <row r="35" spans="2:14" ht="26.25" thickBot="1" x14ac:dyDescent="0.3">
      <c r="B35" s="4" t="s">
        <v>717</v>
      </c>
      <c r="C35" s="5" t="s">
        <v>719</v>
      </c>
      <c r="D35" s="5">
        <v>150</v>
      </c>
      <c r="E35" s="5">
        <v>93</v>
      </c>
    </row>
    <row r="36" spans="2:14" ht="15.75" thickBot="1" x14ac:dyDescent="0.3">
      <c r="B36" s="4" t="s">
        <v>717</v>
      </c>
      <c r="C36" s="5" t="s">
        <v>720</v>
      </c>
      <c r="D36" s="5">
        <v>112</v>
      </c>
      <c r="E36" s="5">
        <v>103</v>
      </c>
    </row>
    <row r="37" spans="2:14" ht="15.75" thickBot="1" x14ac:dyDescent="0.3">
      <c r="B37" s="4" t="s">
        <v>721</v>
      </c>
      <c r="C37" s="5" t="s">
        <v>722</v>
      </c>
      <c r="D37" s="5">
        <v>644</v>
      </c>
      <c r="E37" s="5">
        <v>192</v>
      </c>
    </row>
    <row r="38" spans="2:14" ht="15.75" thickBot="1" x14ac:dyDescent="0.3">
      <c r="B38" s="4" t="s">
        <v>721</v>
      </c>
      <c r="C38" s="5" t="s">
        <v>723</v>
      </c>
      <c r="D38" s="5">
        <v>598</v>
      </c>
      <c r="E38" s="5">
        <v>152</v>
      </c>
    </row>
    <row r="39" spans="2:14" ht="21.95" customHeight="1" thickBot="1" x14ac:dyDescent="0.3">
      <c r="B39" s="4" t="s">
        <v>721</v>
      </c>
      <c r="C39" s="5" t="s">
        <v>724</v>
      </c>
      <c r="D39" s="5">
        <v>343</v>
      </c>
      <c r="E39" s="5">
        <v>105</v>
      </c>
    </row>
    <row r="43" spans="2:14" ht="15.75" x14ac:dyDescent="0.25">
      <c r="B43" s="138" t="s">
        <v>472</v>
      </c>
      <c r="C43" s="118"/>
    </row>
    <row r="44" spans="2:14" ht="132.94999999999999" customHeight="1" x14ac:dyDescent="0.25">
      <c r="B44" s="373" t="s">
        <v>772</v>
      </c>
      <c r="C44" s="373"/>
      <c r="D44" s="373"/>
      <c r="E44" s="373"/>
      <c r="F44" s="373"/>
    </row>
    <row r="45" spans="2:14" ht="15.75" thickBot="1" x14ac:dyDescent="0.3">
      <c r="B45" s="119" t="s">
        <v>473</v>
      </c>
    </row>
    <row r="46" spans="2:14" ht="26.25" thickBot="1" x14ac:dyDescent="0.3">
      <c r="B46" s="2" t="s">
        <v>109</v>
      </c>
      <c r="C46" s="3" t="s">
        <v>474</v>
      </c>
      <c r="D46" s="3" t="s">
        <v>768</v>
      </c>
      <c r="E46" s="3" t="s">
        <v>475</v>
      </c>
    </row>
    <row r="47" spans="2:14" ht="63.6" customHeight="1" thickBot="1" x14ac:dyDescent="0.3">
      <c r="B47" s="4" t="s">
        <v>391</v>
      </c>
      <c r="C47" s="5" t="s">
        <v>728</v>
      </c>
      <c r="D47" s="5" t="s">
        <v>729</v>
      </c>
      <c r="E47" s="5">
        <v>0.66</v>
      </c>
    </row>
    <row r="48" spans="2:14" ht="51.6" customHeight="1" thickBot="1" x14ac:dyDescent="0.3">
      <c r="B48" s="4" t="s">
        <v>425</v>
      </c>
      <c r="C48" s="5" t="s">
        <v>730</v>
      </c>
      <c r="D48" s="5" t="s">
        <v>731</v>
      </c>
      <c r="E48" s="5">
        <v>0.28770000000000001</v>
      </c>
    </row>
    <row r="49" spans="2:5" ht="26.25" thickBot="1" x14ac:dyDescent="0.3">
      <c r="B49" s="4" t="s">
        <v>394</v>
      </c>
      <c r="C49" s="5" t="s">
        <v>732</v>
      </c>
      <c r="D49" s="5" t="s">
        <v>733</v>
      </c>
      <c r="E49" s="5">
        <v>0.28000000000000003</v>
      </c>
    </row>
    <row r="50" spans="2:5" ht="26.25" thickBot="1" x14ac:dyDescent="0.3">
      <c r="B50" s="4" t="s">
        <v>395</v>
      </c>
      <c r="C50" s="5" t="s">
        <v>734</v>
      </c>
      <c r="D50" s="5" t="s">
        <v>735</v>
      </c>
      <c r="E50" s="5">
        <v>0.9</v>
      </c>
    </row>
    <row r="51" spans="2:5" ht="39" thickBot="1" x14ac:dyDescent="0.3">
      <c r="B51" s="4" t="s">
        <v>393</v>
      </c>
      <c r="C51" s="5" t="s">
        <v>736</v>
      </c>
      <c r="D51" s="5" t="s">
        <v>737</v>
      </c>
      <c r="E51" s="5">
        <v>0.32</v>
      </c>
    </row>
    <row r="52" spans="2:5" ht="64.5" thickBot="1" x14ac:dyDescent="0.3">
      <c r="B52" s="4" t="s">
        <v>414</v>
      </c>
      <c r="C52" s="5" t="s">
        <v>738</v>
      </c>
      <c r="D52" s="5" t="s">
        <v>739</v>
      </c>
      <c r="E52" s="5">
        <v>1.35</v>
      </c>
    </row>
    <row r="53" spans="2:5" ht="15.75" thickBot="1" x14ac:dyDescent="0.3">
      <c r="B53" s="4" t="s">
        <v>396</v>
      </c>
      <c r="C53" s="5" t="s">
        <v>740</v>
      </c>
      <c r="D53" s="5" t="s">
        <v>741</v>
      </c>
      <c r="E53" s="5">
        <v>0.66</v>
      </c>
    </row>
    <row r="54" spans="2:5" ht="51.75" thickBot="1" x14ac:dyDescent="0.3">
      <c r="B54" s="4" t="s">
        <v>422</v>
      </c>
      <c r="C54" s="5" t="s">
        <v>742</v>
      </c>
      <c r="D54" s="5" t="s">
        <v>743</v>
      </c>
      <c r="E54" s="5">
        <v>0.22500000000000001</v>
      </c>
    </row>
    <row r="55" spans="2:5" ht="15.75" thickBot="1" x14ac:dyDescent="0.3">
      <c r="B55" s="4" t="s">
        <v>415</v>
      </c>
      <c r="C55" s="5" t="s">
        <v>481</v>
      </c>
      <c r="D55" s="5" t="s">
        <v>744</v>
      </c>
      <c r="E55" s="5">
        <v>0.2</v>
      </c>
    </row>
    <row r="56" spans="2:5" ht="15.75" thickBot="1" x14ac:dyDescent="0.3">
      <c r="B56" s="4" t="s">
        <v>408</v>
      </c>
      <c r="C56" s="5" t="s">
        <v>490</v>
      </c>
      <c r="D56" s="5" t="s">
        <v>491</v>
      </c>
      <c r="E56" s="5">
        <v>0.26</v>
      </c>
    </row>
    <row r="57" spans="2:5" ht="15.75" thickBot="1" x14ac:dyDescent="0.3">
      <c r="B57" s="4" t="s">
        <v>397</v>
      </c>
      <c r="C57" s="5" t="s">
        <v>745</v>
      </c>
      <c r="D57" s="5" t="s">
        <v>746</v>
      </c>
      <c r="E57" s="5">
        <v>0.93</v>
      </c>
    </row>
    <row r="58" spans="2:5" ht="15.75" thickBot="1" x14ac:dyDescent="0.3">
      <c r="B58" s="4" t="s">
        <v>111</v>
      </c>
      <c r="C58" s="5" t="s">
        <v>490</v>
      </c>
      <c r="D58" s="5" t="s">
        <v>491</v>
      </c>
      <c r="E58" s="5">
        <v>0.26</v>
      </c>
    </row>
    <row r="59" spans="2:5" ht="62.45" customHeight="1" thickBot="1" x14ac:dyDescent="0.3">
      <c r="B59" s="4" t="s">
        <v>420</v>
      </c>
      <c r="C59" s="5" t="s">
        <v>742</v>
      </c>
      <c r="D59" s="5" t="s">
        <v>743</v>
      </c>
      <c r="E59" s="5">
        <v>0.22500000000000001</v>
      </c>
    </row>
    <row r="60" spans="2:5" ht="39" thickBot="1" x14ac:dyDescent="0.3">
      <c r="B60" s="4" t="s">
        <v>398</v>
      </c>
      <c r="C60" s="5" t="s">
        <v>747</v>
      </c>
      <c r="D60" s="5" t="s">
        <v>748</v>
      </c>
      <c r="E60" s="5">
        <v>0.25</v>
      </c>
    </row>
    <row r="61" spans="2:5" ht="26.25" thickBot="1" x14ac:dyDescent="0.3">
      <c r="B61" s="4" t="s">
        <v>424</v>
      </c>
      <c r="C61" s="5" t="s">
        <v>749</v>
      </c>
      <c r="D61" s="5" t="s">
        <v>750</v>
      </c>
      <c r="E61" s="5">
        <v>0.19</v>
      </c>
    </row>
    <row r="62" spans="2:5" ht="26.25" thickBot="1" x14ac:dyDescent="0.3">
      <c r="B62" s="4" t="s">
        <v>426</v>
      </c>
      <c r="C62" s="5" t="s">
        <v>751</v>
      </c>
      <c r="D62" s="5" t="s">
        <v>752</v>
      </c>
      <c r="E62" s="5">
        <v>0.9</v>
      </c>
    </row>
    <row r="63" spans="2:5" ht="15.75" thickBot="1" x14ac:dyDescent="0.3">
      <c r="B63" s="4" t="s">
        <v>399</v>
      </c>
      <c r="C63" s="5" t="s">
        <v>753</v>
      </c>
      <c r="D63" s="5" t="s">
        <v>754</v>
      </c>
      <c r="E63" s="5">
        <v>0.27</v>
      </c>
    </row>
    <row r="64" spans="2:5" ht="26.25" thickBot="1" x14ac:dyDescent="0.3">
      <c r="B64" s="4" t="s">
        <v>401</v>
      </c>
      <c r="C64" s="5" t="s">
        <v>755</v>
      </c>
      <c r="D64" s="5" t="s">
        <v>756</v>
      </c>
      <c r="E64" s="5">
        <v>0.9</v>
      </c>
    </row>
    <row r="65" spans="2:5" ht="15.75" thickBot="1" x14ac:dyDescent="0.3">
      <c r="B65" s="4" t="s">
        <v>410</v>
      </c>
      <c r="C65" s="5" t="s">
        <v>478</v>
      </c>
      <c r="D65" s="5" t="s">
        <v>757</v>
      </c>
      <c r="E65" s="5">
        <v>0.3332</v>
      </c>
    </row>
    <row r="66" spans="2:5" ht="15.75" thickBot="1" x14ac:dyDescent="0.3">
      <c r="B66" s="4" t="s">
        <v>411</v>
      </c>
      <c r="C66" s="5" t="s">
        <v>487</v>
      </c>
      <c r="D66" s="5" t="s">
        <v>758</v>
      </c>
      <c r="E66" s="5">
        <v>0.23</v>
      </c>
    </row>
    <row r="67" spans="2:5" ht="15.75" thickBot="1" x14ac:dyDescent="0.3">
      <c r="B67" s="4" t="s">
        <v>412</v>
      </c>
      <c r="C67" s="5" t="s">
        <v>476</v>
      </c>
      <c r="D67" s="5" t="s">
        <v>477</v>
      </c>
      <c r="E67" s="5">
        <v>0.21049999999999999</v>
      </c>
    </row>
    <row r="68" spans="2:5" ht="15.75" thickBot="1" x14ac:dyDescent="0.3">
      <c r="B68" s="4" t="s">
        <v>409</v>
      </c>
      <c r="C68" s="5" t="s">
        <v>486</v>
      </c>
      <c r="D68" s="5" t="s">
        <v>759</v>
      </c>
      <c r="E68" s="5">
        <v>0.14000000000000001</v>
      </c>
    </row>
    <row r="69" spans="2:5" ht="15.75" thickBot="1" x14ac:dyDescent="0.3">
      <c r="B69" s="4" t="s">
        <v>413</v>
      </c>
      <c r="C69" s="5" t="s">
        <v>490</v>
      </c>
      <c r="D69" s="5" t="s">
        <v>491</v>
      </c>
      <c r="E69" s="5">
        <v>0.26</v>
      </c>
    </row>
    <row r="70" spans="2:5" ht="51.75" thickBot="1" x14ac:dyDescent="0.3">
      <c r="B70" s="4" t="s">
        <v>114</v>
      </c>
      <c r="C70" s="5" t="s">
        <v>482</v>
      </c>
      <c r="D70" s="5" t="s">
        <v>483</v>
      </c>
      <c r="E70" s="5">
        <v>0.21310000000000001</v>
      </c>
    </row>
    <row r="71" spans="2:5" ht="77.25" thickBot="1" x14ac:dyDescent="0.3">
      <c r="B71" s="4" t="s">
        <v>419</v>
      </c>
      <c r="C71" s="5" t="s">
        <v>760</v>
      </c>
      <c r="D71" s="5" t="s">
        <v>761</v>
      </c>
      <c r="E71" s="5">
        <v>0.21</v>
      </c>
    </row>
    <row r="72" spans="2:5" ht="26.25" thickBot="1" x14ac:dyDescent="0.3">
      <c r="B72" s="4" t="s">
        <v>416</v>
      </c>
      <c r="C72" s="5" t="s">
        <v>479</v>
      </c>
      <c r="D72" s="5" t="s">
        <v>480</v>
      </c>
      <c r="E72" s="5">
        <v>0.2</v>
      </c>
    </row>
    <row r="73" spans="2:5" ht="15.75" thickBot="1" x14ac:dyDescent="0.3">
      <c r="B73" s="4" t="s">
        <v>417</v>
      </c>
      <c r="C73" s="5" t="s">
        <v>488</v>
      </c>
      <c r="D73" s="5" t="s">
        <v>489</v>
      </c>
      <c r="E73" s="5">
        <v>0.38</v>
      </c>
    </row>
    <row r="74" spans="2:5" ht="15.75" thickBot="1" x14ac:dyDescent="0.3">
      <c r="B74" s="4" t="s">
        <v>418</v>
      </c>
      <c r="C74" s="5" t="s">
        <v>488</v>
      </c>
      <c r="D74" s="5" t="s">
        <v>489</v>
      </c>
      <c r="E74" s="5">
        <v>0.38</v>
      </c>
    </row>
    <row r="75" spans="2:5" ht="26.25" thickBot="1" x14ac:dyDescent="0.3">
      <c r="B75" s="4" t="s">
        <v>403</v>
      </c>
      <c r="C75" s="5" t="s">
        <v>762</v>
      </c>
      <c r="D75" s="5" t="s">
        <v>763</v>
      </c>
      <c r="E75" s="5">
        <v>0.24</v>
      </c>
    </row>
    <row r="76" spans="2:5" ht="15.75" thickBot="1" x14ac:dyDescent="0.3">
      <c r="B76" s="4" t="s">
        <v>638</v>
      </c>
      <c r="C76" s="5" t="s">
        <v>764</v>
      </c>
      <c r="D76" s="5" t="s">
        <v>765</v>
      </c>
      <c r="E76" s="5">
        <v>0.86</v>
      </c>
    </row>
    <row r="77" spans="2:5" ht="15.75" thickBot="1" x14ac:dyDescent="0.3">
      <c r="B77" s="4" t="s">
        <v>404</v>
      </c>
      <c r="C77" s="5" t="s">
        <v>766</v>
      </c>
      <c r="D77" s="5" t="s">
        <v>767</v>
      </c>
      <c r="E77" s="5">
        <v>0.4657</v>
      </c>
    </row>
    <row r="78" spans="2:5" ht="26.25" thickBot="1" x14ac:dyDescent="0.3">
      <c r="B78" s="4" t="s">
        <v>405</v>
      </c>
      <c r="C78" s="5" t="s">
        <v>484</v>
      </c>
      <c r="D78" s="5" t="s">
        <v>485</v>
      </c>
      <c r="E78" s="5">
        <v>0.1855</v>
      </c>
    </row>
  </sheetData>
  <sheetProtection algorithmName="SHA-512" hashValue="UZejXyNomacvvN4DEV7KdgMvz9TmhaMmG/5rlVkp5Xltt8D3p8ScKU7N51WD0XWOHehRdEvFoVqMPaitemOHMQ==" saltValue="2D/l+4luNXFZm0Zt1zSl7g==" spinCount="100000" sheet="1" objects="1" scenarios="1"/>
  <mergeCells count="11">
    <mergeCell ref="L29:L31"/>
    <mergeCell ref="M29:M31"/>
    <mergeCell ref="N30:N31"/>
    <mergeCell ref="B44:F44"/>
    <mergeCell ref="Q12:T12"/>
    <mergeCell ref="L12:O13"/>
    <mergeCell ref="S16:S25"/>
    <mergeCell ref="F15:H15"/>
    <mergeCell ref="B12:I12"/>
    <mergeCell ref="L18:O18"/>
    <mergeCell ref="L23:O23"/>
  </mergeCells>
  <hyperlinks>
    <hyperlink ref="B13" r:id="rId1" xr:uid="{00000000-0004-0000-0800-000000000000}"/>
    <hyperlink ref="B9" location="'Benchmarking data'!B45" display="Waste density factors" xr:uid="{00000000-0004-0000-0800-000001000000}"/>
    <hyperlink ref="B8" location="'Benchmarking data'!M23" display="Public transport £/passenger km benchmarks" xr:uid="{00000000-0004-0000-0800-000002000000}"/>
    <hyperlink ref="B7" location="'Benchmarking data'!R10" display="Commuting benchmarks" xr:uid="{00000000-0004-0000-0800-000003000000}"/>
    <hyperlink ref="B6" location="'Benchmarking data'!M9" display="Water use and waste benchmarks" xr:uid="{00000000-0004-0000-0800-000004000000}"/>
    <hyperlink ref="B5" location="'Benchmarking data'!B12" display="Energy use in building benchmarks" xr:uid="{00000000-0004-0000-0800-000005000000}"/>
    <hyperlink ref="S16" r:id="rId2" tooltip="https://www.racfoundation.org/assets/rac_foundation/content/downloadables/car-and-the-commute-web-version.pdf" xr:uid="{00000000-0004-0000-0800-000006000000}"/>
    <hyperlink ref="N29" r:id="rId3" xr:uid="{00000000-0004-0000-0800-000007000000}"/>
  </hyperlinks>
  <pageMargins left="0.7" right="0.7" top="0.75" bottom="0.75" header="0.3" footer="0.3"/>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xsi="http://www.w3.org/2001/XMLSchema-instance" xmlns:pc="http://schemas.microsoft.com/office/infopath/2007/PartnerControls" xmlns:p="http://schemas.microsoft.com/office/2006/metadata/properties">
  <documentManagement>
    <lcf76f155ced4ddcb4097134ff3c332f xmlns="f00b33eb-6526-4a11-b7bc-ffc5ef8454ca">
      <Terms xmlns="http://schemas.microsoft.com/office/infopath/2007/PartnerControls"/>
    </lcf76f155ced4ddcb4097134ff3c332f>
    <TaxCatchAll xmlns="2fc2a8c7-3b3f-4409-bc78-aa40538e7eb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6538D77993CB45ACFB3FCD6907904A" ma:contentTypeVersion="10" ma:contentTypeDescription="Create a new document." ma:contentTypeScope="" ma:versionID="4e9a562f9878d78c07abf9417dacc8d6">
  <xsd:schema xmlns:xsd="http://www.w3.org/2001/XMLSchema" xmlns:xs="http://www.w3.org/2001/XMLSchema" xmlns:p="http://schemas.microsoft.com/office/2006/metadata/properties" xmlns:ns2="f00b33eb-6526-4a11-b7bc-ffc5ef8454ca" xmlns:ns3="2fc2a8c7-3b3f-4409-bc78-aa40538e7eb1" targetNamespace="http://schemas.microsoft.com/office/2006/metadata/properties" ma:root="true" ma:fieldsID="9dfdcd37b8efbfef0e07732efa75bad2" ns2:_="" ns3:_="">
    <xsd:import namespace="f00b33eb-6526-4a11-b7bc-ffc5ef8454ca"/>
    <xsd:import namespace="2fc2a8c7-3b3f-4409-bc78-aa40538e7e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b33eb-6526-4a11-b7bc-ffc5ef845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9916344-974c-40d7-84f2-6dd26b6b4354}"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etadata xmlns="http://www.objective.com/ecm/document/metadata/FF3C5B18883D4E21973B57C2EEED7FD1" version="1.0.0">
  <systemFields>
    <field name="Objective-Id">
      <value order="0">A34708334</value>
    </field>
    <field name="Objective-Title">
      <value order="0">9 - Design and Translation - Net Zero Carbon reporting spreadsheet final (E)</value>
    </field>
    <field name="Objective-Description">
      <value order="0"/>
    </field>
    <field name="Objective-CreationStamp">
      <value order="0">2021-05-13T18:05:49Z</value>
    </field>
    <field name="Objective-IsApproved">
      <value order="0">false</value>
    </field>
    <field name="Objective-IsPublished">
      <value order="0">true</value>
    </field>
    <field name="Objective-DatePublished">
      <value order="0">2021-05-13T18:06:24Z</value>
    </field>
    <field name="Objective-ModificationStamp">
      <value order="0">2021-05-13T18:06:25Z</value>
    </field>
    <field name="Objective-Owner">
      <value order="0">Phillips, Rhiannon (ESNR-Strategy-Decarbonisation&amp;Energy)</value>
    </field>
    <field name="Objective-Path">
      <value order="0">Objective Global Folder:Business File Plan:Economy, Skills &amp; Natural Resources (ESNR):Economy, Skills &amp; Natural Resources (ESNR) - ERA - Decarbonisation &amp; Energy:1 - Save:Public Sector Decarbonisation:Delivery - Decarbonisation &amp; Energy - 2018 - 2020  :Workstream - Monitoring and Reporting - Development of Welsh Government standards</value>
    </field>
    <field name="Objective-Parent">
      <value order="0">Workstream - Monitoring and Reporting - Development of Welsh Government standards</value>
    </field>
    <field name="Objective-State">
      <value order="0">Published</value>
    </field>
    <field name="Objective-VersionId">
      <value order="0">vA68424561</value>
    </field>
    <field name="Objective-Version">
      <value order="0">1.0</value>
    </field>
    <field name="Objective-VersionNumber">
      <value order="0">1</value>
    </field>
    <field name="Objective-VersionComment">
      <value order="0">First version</value>
    </field>
    <field name="Objective-FileNumber">
      <value order="0">qA1367473</value>
    </field>
    <field name="Objective-Classification">
      <value order="0">Official</value>
    </field>
    <field name="Objective-Caveats">
      <value order="0"/>
    </field>
  </systemFields>
  <catalogues>
    <catalogue name="Document Type Catalogue" type="type" ori="id:cA14">
      <field name="Objective-Date Acquired">
        <value order="0">2021-05-12T23:00:00Z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289732A7-1D95-4311-A98C-B3DB5215722B}">
  <ds:schemaRef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18ce686f-ec55-47ba-93ac-4e1affdd0871"/>
    <ds:schemaRef ds:uri="http://purl.org/dc/terms/"/>
    <ds:schemaRef ds:uri="http://purl.org/dc/elements/1.1/"/>
    <ds:schemaRef ds:uri="c9e99ab8-62f2-41fa-aac2-db796acf6794"/>
    <ds:schemaRef ds:uri="af263edf-4b41-4d8e-b85a-a461b3b2b7fb"/>
  </ds:schemaRefs>
</ds:datastoreItem>
</file>

<file path=customXml/itemProps2.xml><?xml version="1.0" encoding="utf-8"?>
<ds:datastoreItem xmlns:ds="http://schemas.openxmlformats.org/officeDocument/2006/customXml" ds:itemID="{4D056F19-73F7-4ECD-828B-7920FFCA8AD9}"/>
</file>

<file path=customXml/itemProps3.xml><?xml version="1.0" encoding="utf-8"?>
<ds:datastoreItem xmlns:ds="http://schemas.openxmlformats.org/officeDocument/2006/customXml" ds:itemID="{3B29AECD-ED03-4139-9D95-9DA9641B40EB}">
  <ds:schemaRefs>
    <ds:schemaRef ds:uri="http://schemas.microsoft.com/sharepoint/v3/contenttype/forms"/>
  </ds:schemaRefs>
</ds:datastoreItem>
</file>

<file path=customXml/itemProps4.xml><?xml version="1.0" encoding="utf-8"?>
<ds:datastoreItem xmlns:ds="http://schemas.openxmlformats.org/officeDocument/2006/customXml" ds:itemID="{252027D6-3E6F-4BA7-94EA-447AF3C378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e686f-ec55-47ba-93ac-4e1affdd0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183</vt:i4>
      </vt:variant>
    </vt:vector>
  </HeadingPairs>
  <TitlesOfParts>
    <vt:vector size="193" baseType="lpstr">
      <vt:lpstr>Introduction</vt:lpstr>
      <vt:lpstr>Summary results</vt:lpstr>
      <vt:lpstr>Buildings, Fleet &amp; Equipment</vt:lpstr>
      <vt:lpstr>School Travel &amp; Staff Commute</vt:lpstr>
      <vt:lpstr>Waste</vt:lpstr>
      <vt:lpstr>Supply chain</vt:lpstr>
      <vt:lpstr>Renewables</vt:lpstr>
      <vt:lpstr>Emission factors</vt:lpstr>
      <vt:lpstr>Benchmarking data</vt:lpstr>
      <vt:lpstr>Lists</vt:lpstr>
      <vt:lpstr>'Benchmarking data'!_ftnref1</vt:lpstr>
      <vt:lpstr>'Benchmarking data'!_Toc103010521</vt:lpstr>
      <vt:lpstr>Aggregates</vt:lpstr>
      <vt:lpstr>AGRIC</vt:lpstr>
      <vt:lpstr>Agriculture</vt:lpstr>
      <vt:lpstr>Allfleetfuel</vt:lpstr>
      <vt:lpstr>Anaestheticgas</vt:lpstr>
      <vt:lpstr>Anaestheticgasunits</vt:lpstr>
      <vt:lpstr>Anatomicalwaste</vt:lpstr>
      <vt:lpstr>Asbestos</vt:lpstr>
      <vt:lpstr>Asphalt</vt:lpstr>
      <vt:lpstr>Averageconstruction</vt:lpstr>
      <vt:lpstr>Batteries</vt:lpstr>
      <vt:lpstr>Biodieselcategory1</vt:lpstr>
      <vt:lpstr>Biodieselunits</vt:lpstr>
      <vt:lpstr>Bioenergycategory1</vt:lpstr>
      <vt:lpstr>Bioenergyunits</vt:lpstr>
      <vt:lpstr>Biopetrolcategory1</vt:lpstr>
      <vt:lpstr>Biopetrolunits</vt:lpstr>
      <vt:lpstr>Bricks</vt:lpstr>
      <vt:lpstr>Buildings</vt:lpstr>
      <vt:lpstr>Buildingsownership</vt:lpstr>
      <vt:lpstr>Businesstravel</vt:lpstr>
      <vt:lpstr>Cattle</vt:lpstr>
      <vt:lpstr>CHPplant</vt:lpstr>
      <vt:lpstr>Clinicalwaste</vt:lpstr>
      <vt:lpstr>Clothing</vt:lpstr>
      <vt:lpstr>Coalcategory1</vt:lpstr>
      <vt:lpstr>Coalunits</vt:lpstr>
      <vt:lpstr>Commercialandindustrialwaste</vt:lpstr>
      <vt:lpstr>Commuting</vt:lpstr>
      <vt:lpstr>Concrete</vt:lpstr>
      <vt:lpstr>Dieselcategory1</vt:lpstr>
      <vt:lpstr>Dieselunits</vt:lpstr>
      <vt:lpstr>Ease</vt:lpstr>
      <vt:lpstr>Equipmentfuel</vt:lpstr>
      <vt:lpstr>F_gases</vt:lpstr>
      <vt:lpstr>F_GasUnits</vt:lpstr>
      <vt:lpstr>FarmlandSoils</vt:lpstr>
      <vt:lpstr>Farmlandsoilsunits</vt:lpstr>
      <vt:lpstr>Fgas</vt:lpstr>
      <vt:lpstr>fgasunits</vt:lpstr>
      <vt:lpstr>FireandRescueService</vt:lpstr>
      <vt:lpstr>Fleetandequipmentfuel</vt:lpstr>
      <vt:lpstr>Fleetdistance</vt:lpstr>
      <vt:lpstr>Flightcategory1</vt:lpstr>
      <vt:lpstr>Flightdomestic</vt:lpstr>
      <vt:lpstr>Flightlonghaul</vt:lpstr>
      <vt:lpstr>Flightshorthaul</vt:lpstr>
      <vt:lpstr>Flightunits</vt:lpstr>
      <vt:lpstr>Gasoilcategory1</vt:lpstr>
      <vt:lpstr>Gasoilunits</vt:lpstr>
      <vt:lpstr>Generatorfuel</vt:lpstr>
      <vt:lpstr>Gridelectricitycategory1</vt:lpstr>
      <vt:lpstr>Gridelectricityunits</vt:lpstr>
      <vt:lpstr>HealthBoardorTrust</vt:lpstr>
      <vt:lpstr>Heatandsteamcategory1</vt:lpstr>
      <vt:lpstr>Heatandsteamunits</vt:lpstr>
      <vt:lpstr>HGVfuel</vt:lpstr>
      <vt:lpstr>HGVsize</vt:lpstr>
      <vt:lpstr>HGVsizefuel</vt:lpstr>
      <vt:lpstr>HGVunits</vt:lpstr>
      <vt:lpstr>Hirecaraverage</vt:lpstr>
      <vt:lpstr>Hirecarcategory1</vt:lpstr>
      <vt:lpstr>Hirecarlarge</vt:lpstr>
      <vt:lpstr>Hirecarmedium</vt:lpstr>
      <vt:lpstr>Hirecarsmall</vt:lpstr>
      <vt:lpstr>Hirecarunits</vt:lpstr>
      <vt:lpstr>Homeworking</vt:lpstr>
      <vt:lpstr>Householdresidualwaste</vt:lpstr>
      <vt:lpstr>Infectiouswaste</vt:lpstr>
      <vt:lpstr>Insulation</vt:lpstr>
      <vt:lpstr>Kerosenecategory1</vt:lpstr>
      <vt:lpstr>Keroseneunits</vt:lpstr>
      <vt:lpstr>landuse</vt:lpstr>
      <vt:lpstr>landusetypes</vt:lpstr>
      <vt:lpstr>Livestock</vt:lpstr>
      <vt:lpstr>Livestockunits</vt:lpstr>
      <vt:lpstr>LocalAuthority</vt:lpstr>
      <vt:lpstr>LPGcategory1</vt:lpstr>
      <vt:lpstr>LPGunits</vt:lpstr>
      <vt:lpstr>Medicalcontaminatedsharpswaste</vt:lpstr>
      <vt:lpstr>Medicinalwaste</vt:lpstr>
      <vt:lpstr>Metals</vt:lpstr>
      <vt:lpstr>Methdologytier2</vt:lpstr>
      <vt:lpstr>Methodologyall</vt:lpstr>
      <vt:lpstr>Methodologytier</vt:lpstr>
      <vt:lpstr>Methodologytier1</vt:lpstr>
      <vt:lpstr>Methodologytier23</vt:lpstr>
      <vt:lpstr>Methodologytier3</vt:lpstr>
      <vt:lpstr>Mineraloil</vt:lpstr>
      <vt:lpstr>Mixedglass</vt:lpstr>
      <vt:lpstr>Mixedmetalcans</vt:lpstr>
      <vt:lpstr>Mixedpaper</vt:lpstr>
      <vt:lpstr>Mixedplastics</vt:lpstr>
      <vt:lpstr>Mixedrecycling</vt:lpstr>
      <vt:lpstr>MixedWEEE</vt:lpstr>
      <vt:lpstr>Motorbikeaverage</vt:lpstr>
      <vt:lpstr>Motorbikecategory1</vt:lpstr>
      <vt:lpstr>motorbikelarge</vt:lpstr>
      <vt:lpstr>Motorbikemedium</vt:lpstr>
      <vt:lpstr>Motorbikesmall</vt:lpstr>
      <vt:lpstr>Motorbikeunits</vt:lpstr>
      <vt:lpstr>Municipalwaste</vt:lpstr>
      <vt:lpstr>NationalParkAuthority</vt:lpstr>
      <vt:lpstr>Naturalgascategory1</vt:lpstr>
      <vt:lpstr>Naturalgasunits</vt:lpstr>
      <vt:lpstr>Noninfectiousoffensivewaste</vt:lpstr>
      <vt:lpstr>Onsiterenewables</vt:lpstr>
      <vt:lpstr>Organicfoodanddrink</vt:lpstr>
      <vt:lpstr>Organicgarden</vt:lpstr>
      <vt:lpstr>Organicmixed</vt:lpstr>
      <vt:lpstr>OrganisationalInfo</vt:lpstr>
      <vt:lpstr>Organisationalwaste</vt:lpstr>
      <vt:lpstr>Organisations</vt:lpstr>
      <vt:lpstr>Organisationwastetype</vt:lpstr>
      <vt:lpstr>OrgType</vt:lpstr>
      <vt:lpstr>Other</vt:lpstr>
      <vt:lpstr>Othergases</vt:lpstr>
      <vt:lpstr>Peerreview</vt:lpstr>
      <vt:lpstr>Petrolcategory1</vt:lpstr>
      <vt:lpstr>Petrolunits</vt:lpstr>
      <vt:lpstr>Plasterboard</vt:lpstr>
      <vt:lpstr>Poolcarfuel</vt:lpstr>
      <vt:lpstr>PoolcarSize</vt:lpstr>
      <vt:lpstr>Poolcarsizefuel</vt:lpstr>
      <vt:lpstr>Poolcarunits</vt:lpstr>
      <vt:lpstr>Privatecaraverage</vt:lpstr>
      <vt:lpstr>Privatecarcategory1</vt:lpstr>
      <vt:lpstr>Privatecarlarge</vt:lpstr>
      <vt:lpstr>Privatecarmedium</vt:lpstr>
      <vt:lpstr>Privatecarsmall</vt:lpstr>
      <vt:lpstr>Privatecarunits</vt:lpstr>
      <vt:lpstr>Projectwaste</vt:lpstr>
      <vt:lpstr>Publictransportbus</vt:lpstr>
      <vt:lpstr>Publictransportcategory1</vt:lpstr>
      <vt:lpstr>Publictransportferry</vt:lpstr>
      <vt:lpstr>Publictransportrail</vt:lpstr>
      <vt:lpstr>Publictransporttaxi</vt:lpstr>
      <vt:lpstr>Publictransportunits</vt:lpstr>
      <vt:lpstr>Purchasedrenewableelectricityagreement</vt:lpstr>
      <vt:lpstr>Purchasedrenewableheatagreement</vt:lpstr>
      <vt:lpstr>Purchasedrenewables</vt:lpstr>
      <vt:lpstr>Regions</vt:lpstr>
      <vt:lpstr>RenewableCHPelectricitytechnology</vt:lpstr>
      <vt:lpstr>RenewableCHPheattechnology</vt:lpstr>
      <vt:lpstr>Renewableelectricity</vt:lpstr>
      <vt:lpstr>Renewableelectricitytechnology</vt:lpstr>
      <vt:lpstr>Renewableheat</vt:lpstr>
      <vt:lpstr>Renewableheattechnology</vt:lpstr>
      <vt:lpstr>Renewables</vt:lpstr>
      <vt:lpstr>ReportingComments</vt:lpstr>
      <vt:lpstr>Reportingyear</vt:lpstr>
      <vt:lpstr>RSD</vt:lpstr>
      <vt:lpstr>Sheep</vt:lpstr>
      <vt:lpstr>SICProductCategories</vt:lpstr>
      <vt:lpstr>SICProductCodeLookup</vt:lpstr>
      <vt:lpstr>soil</vt:lpstr>
      <vt:lpstr>Streetlighting</vt:lpstr>
      <vt:lpstr>SupplyChain_Tier2RSD</vt:lpstr>
      <vt:lpstr>Supplychaingroup</vt:lpstr>
      <vt:lpstr>Typeoflighting</vt:lpstr>
      <vt:lpstr>Tyres</vt:lpstr>
      <vt:lpstr>UniveristyorCollege</vt:lpstr>
      <vt:lpstr>vanaverage</vt:lpstr>
      <vt:lpstr>vanbiodiesel</vt:lpstr>
      <vt:lpstr>vanbiopetrol</vt:lpstr>
      <vt:lpstr>vancategory1</vt:lpstr>
      <vt:lpstr>Vancategory2</vt:lpstr>
      <vt:lpstr>vanfuel</vt:lpstr>
      <vt:lpstr>Vansize</vt:lpstr>
      <vt:lpstr>Vansizefuel</vt:lpstr>
      <vt:lpstr>Vanunits</vt:lpstr>
      <vt:lpstr>Vehicles</vt:lpstr>
      <vt:lpstr>Version</vt:lpstr>
      <vt:lpstr>WasteSoils</vt:lpstr>
      <vt:lpstr>Wastesource</vt:lpstr>
      <vt:lpstr>Wasteunits</vt:lpstr>
      <vt:lpstr>Watercategory1</vt:lpstr>
      <vt:lpstr>Waterunits</vt:lpstr>
      <vt:lpstr>WelshGovernment</vt:lpstr>
      <vt:lpstr>Wood</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Carbon Calculator</dc:title>
  <dc:subject/>
  <dc:creator>Clare Wharmby</dc:creator>
  <cp:keywords/>
  <dc:description/>
  <cp:lastModifiedBy>Ella Bailey</cp:lastModifiedBy>
  <dcterms:created xsi:type="dcterms:W3CDTF">2019-12-05T11:58:06Z</dcterms:created>
  <dcterms:modified xsi:type="dcterms:W3CDTF">2026-02-18T09:01:59Z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0x010100D46538D77993CB45ACFB3FCD6907904A</vt:lpwstr>
  </property>
  <property fmtid="{D5CDD505-2E9C-101B-9397-08002B2CF9AE}" pid="3" name="Objective-Id">
    <vt:lpwstr>A34708334</vt:lpwstr>
  </property>
  <property fmtid="{D5CDD505-2E9C-101B-9397-08002B2CF9AE}" pid="4" name="Objective-Title">
    <vt:lpwstr>9 - Design and Translation - Net Zero Carbon reporting spreadsheet final (E)</vt:lpwstr>
  </property>
  <property fmtid="{D5CDD505-2E9C-101B-9397-08002B2CF9AE}" pid="5" name="Objective-Description">
    <vt:lpwstr/>
  </property>
  <property fmtid="{D5CDD505-2E9C-101B-9397-08002B2CF9AE}" pid="6" name="Objective-CreationStamp">
    <vt:filetime>2021-05-13T18:05:49Z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2021-05-13T18:06:24Z</vt:filetime>
  </property>
  <property fmtid="{D5CDD505-2E9C-101B-9397-08002B2CF9AE}" pid="10" name="Objective-ModificationStamp">
    <vt:filetime>2021-05-13T18:06:25Z</vt:filetime>
  </property>
  <property fmtid="{D5CDD505-2E9C-101B-9397-08002B2CF9AE}" pid="11" name="Objective-Owner">
    <vt:lpwstr>Phillips, Rhiannon (ESNR-Strategy-Decarbonisation&amp;Energy)</vt:lpwstr>
  </property>
  <property fmtid="{D5CDD505-2E9C-101B-9397-08002B2CF9AE}" pid="12" name="Objective-Path">
    <vt:lpwstr>Objective Global Folder:Business File Plan:Economy, Skills &amp; Natural Resources (ESNR):Economy, Skills &amp; Natural Resources (ESNR) - ERA - Decarbonisation &amp; Energy:1 - Save:Public Sector Decarbonisation:Delivery - Decarbonisation &amp; Energy - 2018 - 2020  :Wo</vt:lpwstr>
  </property>
  <property fmtid="{D5CDD505-2E9C-101B-9397-08002B2CF9AE}" pid="13" name="Objective-Parent">
    <vt:lpwstr>Workstream - Monitoring and Reporting - Development of Welsh Government standards</vt:lpwstr>
  </property>
  <property fmtid="{D5CDD505-2E9C-101B-9397-08002B2CF9AE}" pid="14" name="Objective-State">
    <vt:lpwstr>Published</vt:lpwstr>
  </property>
  <property fmtid="{D5CDD505-2E9C-101B-9397-08002B2CF9AE}" pid="15" name="Objective-VersionId">
    <vt:lpwstr>vA68424561</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qA1367473</vt:lpwstr>
  </property>
  <property fmtid="{D5CDD505-2E9C-101B-9397-08002B2CF9AE}" pid="20" name="Objective-Classification">
    <vt:lpwstr>Official</vt:lpwstr>
  </property>
  <property fmtid="{D5CDD505-2E9C-101B-9397-08002B2CF9AE}" pid="21" name="Objective-Caveats">
    <vt:lpwstr/>
  </property>
  <property fmtid="{D5CDD505-2E9C-101B-9397-08002B2CF9AE}" pid="22" name="Objective-Date Acquired">
    <vt:filetime>2021-05-12T23:00:00Z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MediaServiceImageTags">
    <vt:lpwstr/>
  </property>
  <property fmtid="{D5CDD505-2E9C-101B-9397-08002B2CF9AE}" pid="26" name="_ExtendedDescription">
    <vt:lpwstr/>
  </property>
</Properties>
</file>